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Предложение!$245:$247</definedName>
    <definedName name="OFFER_TARIFF_A_COLDVSNA_5">Предложение!$306:$308</definedName>
    <definedName name="OFFER_TARIFF_A_HOTVSNA_1">Предложение!$66:$71</definedName>
    <definedName name="OFFER_TARIFF_A_HOTVSNA_2">Предложение!$132:$137</definedName>
    <definedName name="OFFER_TARIFF_A_HOTVSNA_3">Предложение!$196:$201</definedName>
    <definedName name="OFFER_TARIFF_A_HOTVSNA_4">Предложение!$260:$262</definedName>
    <definedName name="OFFER_TARIFF_A_HOTVSNA_5">Предложение!$321:$323</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Т-гор.вода'!$T$58</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<sst xmlns="http://schemas.openxmlformats.org/spreadsheetml/2006/main" count="13767" uniqueCount="3387">
  <si>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</si>
  <si>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</si>
  <si>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</si>
  <si>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</si>
  <si>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</si>
  <si>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</si>
  <si>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</si>
  <si>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</si>
  <si>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</si>
  <si>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</si>
  <si>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</si>
  <si>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</si>
  <si>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</si>
  <si>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31352310</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</si>
  <si>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</si>
  <si>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</si>
  <si>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</si>
  <si>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</si>
  <si>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</si>
  <si>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</si>
  <si>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</si>
  <si>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</si>
  <si>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</si>
  <si>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</si>
  <si>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</si>
  <si>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</si>
  <si>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</si>
  <si>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</si>
  <si>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</si>
  <si>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</si>
  <si>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</si>
  <si>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</si>
  <si>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</si>
  <si>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</si>
  <si>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</si>
  <si>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</si>
  <si>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</si>
  <si>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</si>
  <si>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</si>
  <si>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</si>
  <si>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</si>
  <si>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04/4240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</si>
  <si>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</si>
  <si>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</si>
  <si>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</si>
  <si>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</si>
  <si>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</si>
  <si>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</si>
  <si>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</si>
  <si>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</si>
  <si>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</si>
  <si>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</si>
  <si>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</si>
  <si>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</si>
  <si>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</si>
  <si>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</si>
  <si>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</si>
  <si>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</si>
  <si>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</si>
  <si>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</si>
  <si>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</si>
  <si>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</si>
  <si>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</si>
  <si>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</si>
  <si>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</si>
  <si>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</si>
  <si>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</si>
  <si>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</si>
  <si>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</si>
  <si>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</si>
  <si>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</si>
  <si>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</si>
  <si>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</si>
  <si>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</si>
  <si>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</si>
  <si>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</si>
  <si>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</si>
  <si>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</si>
  <si>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</si>
  <si>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</si>
  <si>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</si>
  <si>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</si>
  <si>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</si>
  <si>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</si>
  <si>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</si>
  <si>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</si>
  <si>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</si>
  <si>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</si>
  <si>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</si>
  <si>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</si>
  <si>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</si>
  <si>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</si>
  <si>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</si>
  <si>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</si>
  <si>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</si>
  <si>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</si>
  <si>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</si>
  <si>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</si>
  <si>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95</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</si>
  <si>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</si>
  <si>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</si>
  <si>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</si>
  <si>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</si>
  <si>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</si>
  <si>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</si>
  <si>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</si>
  <si>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</si>
  <si>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</si>
  <si>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</si>
  <si>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</si>
  <si>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</si>
  <si>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</si>
  <si>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</si>
  <si>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</si>
  <si>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</si>
  <si>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</si>
  <si>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</si>
  <si>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</si>
  <si>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</si>
  <si>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</si>
  <si>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</si>
  <si>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</si>
  <si>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</si>
  <si>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</si>
  <si>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</si>
  <si>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</si>
  <si>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</si>
  <si>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</si>
  <si>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</si>
  <si>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</si>
  <si>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</si>
  <si>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</si>
  <si>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</si>
  <si>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</si>
  <si>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</si>
  <si>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</si>
  <si>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</si>
  <si>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</si>
  <si>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</si>
  <si>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</si>
  <si>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</si>
  <si>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</si>
  <si>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</si>
  <si>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</si>
  <si>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</si>
  <si>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</si>
  <si>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</si>
  <si>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</si>
  <si>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</si>
  <si>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</si>
  <si>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</si>
  <si>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</si>
  <si>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</si>
  <si>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</si>
  <si>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</si>
  <si>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</si>
  <si>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</si>
  <si>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</si>
  <si>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</si>
  <si>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</si>
  <si>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</si>
  <si>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</si>
  <si>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</si>
  <si>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</si>
  <si>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</si>
  <si>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</si>
  <si>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</si>
  <si>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</si>
  <si>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</si>
  <si>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</si>
  <si>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</si>
  <si>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</si>
  <si>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</si>
  <si>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</si>
  <si>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</si>
  <si>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</si>
  <si>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</si>
  <si>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</si>
  <si>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</si>
  <si>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</si>
  <si>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</si>
  <si>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</si>
  <si>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</si>
  <si>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</si>
  <si>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</si>
  <si>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</si>
  <si>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</si>
  <si>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</si>
  <si>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</si>
  <si>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</si>
  <si>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</si>
  <si>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</si>
  <si>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</si>
  <si>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</si>
  <si>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</si>
  <si>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</si>
  <si>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</si>
  <si>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</si>
  <si>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</si>
  <si>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</si>
  <si>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</si>
  <si>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</si>
  <si>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</si>
  <si>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</si>
  <si>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</si>
  <si>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</si>
  <si>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</si>
  <si>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</si>
  <si>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</si>
  <si>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</si>
  <si>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</si>
  <si>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</si>
  <si>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</si>
  <si>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</si>
  <si>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</si>
  <si>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</si>
  <si>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</si>
  <si>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</si>
  <si>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</si>
  <si>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</si>
  <si>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</si>
  <si>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</si>
  <si>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</si>
  <si>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</si>
  <si>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</si>
  <si>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</si>
  <si>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</si>
  <si>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</si>
  <si>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</si>
  <si>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</si>
  <si>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</si>
  <si>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</si>
  <si>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</si>
  <si>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</si>
  <si>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</si>
  <si>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</si>
  <si>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</si>
  <si>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</si>
  <si>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</si>
  <si>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</si>
  <si>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</si>
  <si>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</si>
  <si>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</si>
  <si>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</si>
  <si>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</si>
  <si>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</si>
  <si>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</si>
  <si>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</si>
  <si>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</si>
  <si>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</si>
  <si>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</si>
  <si>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</si>
  <si>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</si>
  <si>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</si>
  <si>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</si>
  <si>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</si>
  <si>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</si>
  <si>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</si>
  <si>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</si>
  <si>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</si>
  <si>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</si>
  <si>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</si>
  <si>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</si>
  <si>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</si>
  <si>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</si>
  <si>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</si>
  <si>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</si>
  <si>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</si>
  <si>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</si>
  <si>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</si>
  <si>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</si>
  <si>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</si>
  <si>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</si>
  <si>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</si>
  <si>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</si>
  <si>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</si>
  <si>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</si>
  <si>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</si>
  <si>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</si>
  <si>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</si>
  <si>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</si>
  <si>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</si>
  <si>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</si>
  <si>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</si>
  <si>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</si>
  <si>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</si>
  <si>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</si>
  <si>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</si>
  <si>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</si>
  <si>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</si>
  <si>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</si>
  <si>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</si>
  <si>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</si>
  <si>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</si>
  <si>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</si>
  <si>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</si>
  <si>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</si>
  <si>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</si>
  <si>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</si>
  <si>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</si>
  <si>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</si>
  <si>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</si>
  <si>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</si>
  <si>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</si>
  <si>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</si>
  <si>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</si>
  <si>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</si>
  <si>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</si>
  <si>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</si>
  <si>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</si>
  <si>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</si>
  <si>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</si>
  <si>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</si>
  <si>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</si>
  <si>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</si>
  <si>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</si>
  <si>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</si>
  <si>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</si>
  <si>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</si>
  <si>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</si>
  <si>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</si>
  <si>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</si>
  <si>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</si>
  <si>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</si>
  <si>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</si>
  <si>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</si>
  <si>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</si>
  <si>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</si>
  <si>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</si>
  <si>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</si>
  <si>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</si>
  <si>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</si>
  <si>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</si>
  <si>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</si>
  <si>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</si>
  <si>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</si>
  <si>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</si>
  <si>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</si>
  <si>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</si>
  <si>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</si>
  <si>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</si>
  <si>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</si>
  <si>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</si>
  <si>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</si>
  <si>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</si>
  <si>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</si>
  <si>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</si>
  <si>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</si>
  <si>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</si>
  <si>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</si>
  <si>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</si>
  <si>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</si>
  <si>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</si>
  <si>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</si>
  <si>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</si>
  <si>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</si>
  <si>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</si>
  <si>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</si>
  <si>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</si>
  <si>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</si>
  <si>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</si>
  <si>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</si>
  <si>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</si>
  <si>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</si>
  <si>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</si>
  <si>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</si>
  <si>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</si>
  <si>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</si>
  <si>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</si>
  <si>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</si>
  <si>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</si>
  <si>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</si>
  <si>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</si>
  <si>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</si>
  <si>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</si>
  <si>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</si>
  <si>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</si>
  <si>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</si>
  <si>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</si>
  <si>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</si>
  <si>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</si>
  <si>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</si>
  <si>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</si>
  <si>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</si>
  <si>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</si>
  <si>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</si>
  <si>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</si>
  <si>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</si>
  <si>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</si>
  <si>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</si>
  <si>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</si>
  <si>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</si>
  <si>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</si>
  <si>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</si>
  <si>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</si>
  <si>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</si>
  <si>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</si>
  <si>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</si>
  <si>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</si>
  <si>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</si>
  <si>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</si>
  <si>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</si>
  <si>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</si>
  <si>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</si>
  <si>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</si>
  <si>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</si>
  <si>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</si>
  <si>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</si>
  <si>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</si>
  <si>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</si>
  <si>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</si>
  <si>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</si>
  <si>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</si>
  <si>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</si>
  <si>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</si>
  <si>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</si>
  <si>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</si>
  <si>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</si>
  <si>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</si>
  <si>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</si>
  <si>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</si>
  <si>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</si>
  <si>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</si>
  <si>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</si>
  <si>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</si>
  <si>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</si>
  <si>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</si>
  <si>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</si>
  <si>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</si>
  <si>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</si>
  <si>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</si>
  <si>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</si>
  <si>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</si>
  <si>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</si>
  <si>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</si>
  <si>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</si>
  <si>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</si>
  <si>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</si>
  <si>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</si>
  <si>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</si>
  <si>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</si>
  <si>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</si>
  <si>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</si>
  <si>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</si>
  <si>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</si>
  <si>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</si>
  <si>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</si>
  <si>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</si>
  <si>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</si>
  <si>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</si>
  <si>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</si>
  <si>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</si>
  <si>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</si>
  <si>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</si>
  <si>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</si>
  <si>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</si>
  <si>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</si>
  <si>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</si>
  <si>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</si>
  <si>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</si>
  <si>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</si>
  <si>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</si>
  <si>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</si>
  <si>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</si>
  <si>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</si>
  <si>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</si>
  <si>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</si>
  <si>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</si>
  <si>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</si>
  <si>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</si>
  <si>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</si>
  <si>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</si>
  <si>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</si>
  <si>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</si>
  <si>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</si>
  <si>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</si>
  <si>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</si>
  <si>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</si>
  <si>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</si>
  <si>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</si>
  <si>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</si>
  <si>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</si>
  <si>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</si>
  <si>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</si>
  <si>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</si>
  <si>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</si>
  <si>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</si>
  <si>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</si>
  <si>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</si>
  <si>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</si>
  <si>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</si>
  <si>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</si>
  <si>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</si>
  <si>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</si>
  <si>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</si>
  <si>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</si>
  <si>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</si>
  <si>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</si>
  <si>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</si>
  <si>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</si>
  <si>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</si>
  <si>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</si>
  <si>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</si>
  <si>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</si>
  <si>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</si>
  <si>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</si>
  <si>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</si>
  <si>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</si>
  <si>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</si>
  <si>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</si>
  <si>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</si>
  <si>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</si>
  <si>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</si>
  <si>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</si>
  <si>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</si>
  <si>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</si>
  <si>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</si>
  <si>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</si>
  <si>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</si>
  <si>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</si>
  <si>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</si>
  <si>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</si>
  <si>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</si>
  <si>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</si>
  <si>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</si>
  <si>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</si>
  <si>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</si>
  <si>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</si>
  <si>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</si>
  <si>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</si>
  <si>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</si>
  <si>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</si>
  <si>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</si>
  <si>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</si>
  <si>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</si>
  <si>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</si>
  <si>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</si>
  <si>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</si>
  <si>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</si>
  <si>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</si>
  <si>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</si>
  <si>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</si>
  <si>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</si>
  <si>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</si>
  <si>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</si>
  <si>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</si>
  <si>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</si>
  <si>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</si>
  <si>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</si>
  <si>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</si>
  <si>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</si>
  <si>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</si>
  <si>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</si>
  <si>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</si>
  <si>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</si>
  <si>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</si>
  <si>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</si>
  <si>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</si>
  <si>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</si>
  <si>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</si>
  <si>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</si>
  <si>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</si>
  <si>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</si>
  <si>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</si>
  <si>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</si>
  <si>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</si>
  <si>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</si>
  <si>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</si>
  <si>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</si>
  <si>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</si>
  <si>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</si>
  <si>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</si>
  <si>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</si>
  <si>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</si>
  <si>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</si>
  <si>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</si>
  <si>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</si>
  <si>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</si>
  <si>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</si>
  <si>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</si>
  <si>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</si>
  <si>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</si>
  <si>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</si>
  <si>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</si>
  <si>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</si>
  <si>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</si>
  <si>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</si>
  <si>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</si>
  <si>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</si>
  <si>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</si>
  <si>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</si>
  <si>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</si>
  <si>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</si>
  <si>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</si>
  <si>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</si>
  <si>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</si>
  <si>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</si>
  <si>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</si>
  <si>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</si>
  <si>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</si>
  <si>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</si>
  <si>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</si>
  <si>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</si>
  <si>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</si>
  <si>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</si>
  <si>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</si>
  <si>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</si>
  <si>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</si>
  <si>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</si>
  <si>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</si>
  <si>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</si>
  <si>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</si>
  <si>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</si>
  <si>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</si>
  <si>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</si>
  <si>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</si>
  <si>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</si>
  <si>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</si>
  <si>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</si>
  <si>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</si>
  <si>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</si>
  <si>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</si>
  <si>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</si>
  <si>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</si>
  <si>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</si>
  <si>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</si>
  <si>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</si>
  <si>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</si>
  <si>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</si>
  <si>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</si>
  <si>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</si>
  <si>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</si>
  <si>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</si>
  <si>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</si>
  <si>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</si>
  <si>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</si>
  <si>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</si>
  <si>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</si>
  <si>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</si>
  <si>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</si>
  <si>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</si>
  <si>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</si>
  <si>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</si>
  <si>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</si>
  <si>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</si>
  <si>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</si>
  <si>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</si>
  <si>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</si>
  <si>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</si>
  <si>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</si>
  <si>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</si>
  <si>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</si>
  <si>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</si>
  <si>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</si>
  <si>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</si>
  <si>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</si>
  <si>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</si>
  <si>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</si>
  <si>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</si>
  <si>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</si>
  <si>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</si>
  <si>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</si>
  <si>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</si>
  <si>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</si>
  <si>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</si>
  <si>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</si>
  <si>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</si>
  <si>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</si>
  <si>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</si>
  <si>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</si>
  <si>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</si>
  <si>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</si>
  <si>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</si>
  <si>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</si>
  <si>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</si>
  <si>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</si>
  <si>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</si>
  <si>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</si>
  <si>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</si>
  <si>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</si>
  <si>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</si>
  <si>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</si>
  <si>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</si>
  <si>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</si>
  <si>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</si>
  <si>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</si>
  <si>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</si>
  <si>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</si>
  <si>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</si>
  <si>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</si>
  <si>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</si>
  <si>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</si>
  <si>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</si>
  <si>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</si>
  <si>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</si>
  <si>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</si>
  <si>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</si>
  <si>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</si>
  <si>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</si>
  <si>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</si>
  <si>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</si>
  <si>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</si>
  <si>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</si>
  <si>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</si>
  <si>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</si>
  <si>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</si>
  <si>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</si>
  <si>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</si>
  <si>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</si>
  <si>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</si>
  <si>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</si>
  <si>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</si>
  <si>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</si>
  <si>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</si>
  <si>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</si>
  <si>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</si>
  <si>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</si>
  <si>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</si>
  <si>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</si>
  <si>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</si>
  <si>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</si>
  <si>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</si>
  <si>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</si>
  <si>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</si>
  <si>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</si>
  <si>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</si>
  <si>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</si>
  <si>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</si>
  <si>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</si>
  <si>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</si>
  <si>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</si>
  <si>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</si>
  <si>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</si>
  <si>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</si>
  <si>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</si>
  <si>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</si>
  <si>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</si>
  <si>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</si>
  <si>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</si>
  <si>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</si>
  <si>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</si>
  <si>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</si>
  <si>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</si>
  <si>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</si>
  <si>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</si>
  <si>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</si>
  <si>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</si>
  <si>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</si>
  <si>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</si>
  <si>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</si>
  <si>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</si>
  <si>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</si>
  <si>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</si>
  <si>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</si>
  <si>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</si>
  <si>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</si>
  <si>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</si>
  <si>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</si>
  <si>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</si>
  <si>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</si>
  <si>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</si>
  <si>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</si>
  <si>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</si>
  <si>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</si>
  <si>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</si>
  <si>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</si>
  <si>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</si>
  <si>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</si>
  <si>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</si>
  <si>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</si>
  <si>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</si>
  <si>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</si>
  <si>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</si>
  <si>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</si>
  <si>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</si>
  <si>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</si>
  <si>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</si>
  <si>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</si>
  <si>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</si>
  <si>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</si>
  <si>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</si>
  <si>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</si>
  <si>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</si>
  <si>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</si>
  <si>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</si>
  <si>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</si>
  <si>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</si>
  <si>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</si>
  <si>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</si>
  <si>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</si>
  <si>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</si>
  <si>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</si>
  <si>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</si>
  <si>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</si>
  <si>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</si>
  <si>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</si>
  <si>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</si>
  <si>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</si>
  <si>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</si>
  <si>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</si>
  <si>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</si>
  <si>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</si>
  <si>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</si>
  <si>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</si>
  <si>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</si>
  <si>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</si>
  <si>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</si>
  <si>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</si>
  <si>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</si>
  <si>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</si>
  <si>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</si>
  <si>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</si>
  <si>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</si>
  <si>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</si>
  <si>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</si>
  <si>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</si>
  <si>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</si>
  <si>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</si>
  <si>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</si>
  <si>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</si>
  <si>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</si>
  <si>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</si>
  <si>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</si>
  <si>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</si>
  <si>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</si>
  <si>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</si>
  <si>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</si>
  <si>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</si>
  <si>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</si>
  <si>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</si>
  <si>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</si>
  <si>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</si>
  <si>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</si>
  <si>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</si>
  <si>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</si>
  <si>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</si>
  <si>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</si>
  <si>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</si>
  <si>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</si>
  <si>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</si>
  <si>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</si>
  <si>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</si>
  <si>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</si>
  <si>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</si>
  <si>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</si>
  <si>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</si>
  <si>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</si>
  <si>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</si>
  <si>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</si>
  <si>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</si>
  <si>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</si>
  <si>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</si>
  <si>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</si>
  <si>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</si>
  <si>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</si>
  <si>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</si>
  <si>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</si>
  <si>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</si>
  <si>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</si>
  <si>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</si>
  <si>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</si>
  <si>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</si>
  <si>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</si>
  <si>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</si>
  <si>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</si>
  <si>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</si>
  <si>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</si>
  <si>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</si>
  <si>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</si>
  <si>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</si>
  <si>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</si>
  <si>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</si>
  <si>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</si>
  <si>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</si>
  <si>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</si>
  <si>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</si>
  <si>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</si>
  <si>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</si>
  <si>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</si>
  <si>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</si>
  <si>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</si>
  <si>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</si>
  <si>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</si>
  <si>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</si>
  <si>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</si>
  <si>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</si>
  <si>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</si>
  <si>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</si>
  <si>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</si>
  <si>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</si>
  <si>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</si>
  <si>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</si>
  <si>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</si>
  <si>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</si>
  <si>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</si>
  <si>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</si>
  <si>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</si>
  <si>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</si>
  <si>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</si>
  <si>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</si>
  <si>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</si>
  <si>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</si>
  <si>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</si>
  <si>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</si>
  <si>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</si>
  <si>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</si>
  <si>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</si>
  <si>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</si>
  <si>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</si>
  <si>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</si>
  <si>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</si>
  <si>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</si>
  <si>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</si>
  <si>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</si>
  <si>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</si>
  <si>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</si>
  <si>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</si>
  <si>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</si>
  <si>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</si>
  <si>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</si>
  <si>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</si>
  <si>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</si>
  <si>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</si>
  <si>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</si>
  <si>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</si>
  <si>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</si>
  <si>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</si>
  <si>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</si>
  <si>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</si>
  <si>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</si>
  <si>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</si>
  <si>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</si>
  <si>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</si>
  <si>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</si>
  <si>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</si>
  <si>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</si>
  <si>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</si>
  <si>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</si>
  <si>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</si>
  <si>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</si>
  <si>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</si>
  <si>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</si>
  <si>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</si>
  <si>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</si>
  <si>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</si>
  <si>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</si>
  <si>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</si>
  <si>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</si>
  <si>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</si>
  <si>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</si>
  <si>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</si>
  <si>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</si>
  <si>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</si>
  <si>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</si>
  <si>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</si>
  <si>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</si>
  <si>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</si>
  <si>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</si>
  <si>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</si>
  <si>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</si>
  <si>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</si>
  <si>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</si>
  <si>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</si>
  <si>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</si>
  <si>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</si>
  <si>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</si>
  <si>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</si>
  <si>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</si>
  <si>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</si>
  <si>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</si>
  <si>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</si>
  <si>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</si>
  <si>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</si>
  <si>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</si>
  <si>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</si>
  <si>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</si>
  <si>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</si>
  <si>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</si>
  <si>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</si>
  <si>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</si>
  <si>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</si>
  <si>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</si>
  <si>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</si>
  <si>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</si>
  <si>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</si>
  <si>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</si>
  <si>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</si>
  <si>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</si>
  <si>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</si>
  <si>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</si>
  <si>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</si>
  <si>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</si>
  <si>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</si>
  <si>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</si>
  <si>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</si>
  <si>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</si>
  <si>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</si>
  <si>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</si>
  <si>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</si>
  <si>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</si>
  <si>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</si>
  <si>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</si>
  <si>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</si>
  <si>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</si>
  <si>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</si>
  <si>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</si>
  <si>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</si>
  <si>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</si>
  <si>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</si>
  <si>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</si>
  <si>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</si>
  <si>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</si>
  <si>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</si>
  <si>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</si>
  <si>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</si>
  <si>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</si>
  <si>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</si>
  <si>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</si>
  <si>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</si>
  <si>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</si>
  <si>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</si>
  <si>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</si>
  <si>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</si>
  <si>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</si>
  <si>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</si>
  <si>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</si>
  <si>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</si>
  <si>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</si>
  <si>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</si>
  <si>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</si>
  <si>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</si>
  <si>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</si>
  <si>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</si>
  <si>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</si>
  <si>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</si>
  <si>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</si>
  <si>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</si>
  <si>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</si>
  <si>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</si>
  <si>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</si>
  <si>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</si>
  <si>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</si>
  <si>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</si>
  <si>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</si>
  <si>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</si>
  <si>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</si>
  <si>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</si>
  <si>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</si>
  <si>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</si>
  <si>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</si>
  <si>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</si>
  <si>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</si>
  <si>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</si>
  <si>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</si>
  <si>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</si>
  <si>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</si>
  <si>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</si>
  <si>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</si>
  <si>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</si>
  <si>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</si>
  <si>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</si>
  <si>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</si>
  <si>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</si>
  <si>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</si>
  <si>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</si>
  <si>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</si>
  <si>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</si>
  <si>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</si>
  <si>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</si>
  <si>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</si>
  <si>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</si>
  <si>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</si>
  <si>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</si>
  <si>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</si>
  <si>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</si>
  <si>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</si>
  <si>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</si>
  <si>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</si>
  <si>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</si>
  <si>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</si>
  <si>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</si>
  <si>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</si>
  <si>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</si>
  <si>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</si>
  <si>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</si>
  <si>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</si>
  <si>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</si>
  <si>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</si>
  <si>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</si>
  <si>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</si>
  <si>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</si>
  <si>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</si>
  <si>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</si>
  <si>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</si>
  <si>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</si>
  <si>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</si>
  <si>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</si>
  <si>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</si>
  <si>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</si>
  <si>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</si>
  <si>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</si>
  <si>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</si>
  <si>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</si>
  <si>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</si>
  <si>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</si>
  <si>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</si>
  <si>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</si>
  <si>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</si>
  <si>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</si>
  <si>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</si>
  <si>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</si>
  <si>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</si>
  <si>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</si>
  <si>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</si>
  <si>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</si>
  <si>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</si>
  <si>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</si>
  <si>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</si>
  <si>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</si>
  <si>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</si>
  <si>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</si>
  <si>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</si>
  <si>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</si>
  <si>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</si>
  <si>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</si>
  <si>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</si>
  <si>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</si>
  <si>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</si>
  <si>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</si>
  <si>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</si>
  <si>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</si>
  <si>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</si>
  <si>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</si>
  <si>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</si>
  <si>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</si>
  <si>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</si>
  <si>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</si>
  <si>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</si>
  <si>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</si>
  <si>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</si>
  <si>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</si>
  <si>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</si>
  <si>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</si>
  <si>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</si>
  <si>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</si>
  <si>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</si>
  <si>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</si>
  <si>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</si>
  <si>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</si>
  <si>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</si>
  <si>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</si>
  <si>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</si>
  <si>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</si>
  <si>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https://portal.eias.ru/Portal/DownloadPage.aspx?type=12&amp;guid=d5e6fa21-1abd-4053-ad59-ce4bd067a97e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</si>
  <si>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</si>
  <si>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</si>
  <si>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</si>
  <si>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https://zakupki.gov.ru/epz/main/public/home.html</t>
  </si>
  <si>
    <t>https://zakupki.gov.ru/epz/orderclause/search/results.html?searchString=4401158338&amp;morphology=on&amp;sortBy=UPDATE_DATE&amp;pageNumber=1&amp;sortDirection=false&amp;recordsPerPage=_10&amp;showLotsInfoHidden=false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</si>
  <si>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</si>
  <si>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epz/orderplan/search/results.html?searchString=4401158338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</si>
  <si>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https://zakupki.gov.ru/epz/order/extendedsearch/results.html?searchString=4401158338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</si>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</sst>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37"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47" fillId="0" borderId="12"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37"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37" fontId="47" fillId="0" borderId="12" xfId="0" applyFont="1" applyBorder="1" applyNumberFormat="1">
      <alignment horizontal="center" vertical="center" wrapText="1"/>
    </xf>
    <xf numFmtId="4" fontId="47" fillId="0" borderId="12"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61"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e6fa21-1abd-4053-ad59-ce4bd067a97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home.html" TargetMode="External"/><Relationship Id="rId3"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4" Type="http://schemas.openxmlformats.org/officeDocument/2006/relationships/hyperlink" Target="https://zakupki.gov.ru/epz/main/public/home.html" TargetMode="External"/><Relationship Id="rId5"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6" Type="http://schemas.openxmlformats.org/officeDocument/2006/relationships/hyperlink" Target="https://zakupki.gov.ru/epz/main/public/home.html" TargetMode="External"/><Relationship Id="rId7" Type="http://schemas.openxmlformats.org/officeDocument/2006/relationships/hyperlink" Target="https://zakupki.gov.ru/epz/orderplan/search/results.html?searchString=440115833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8" Type="http://schemas.openxmlformats.org/officeDocument/2006/relationships/hyperlink" Target="https://zakupki.gov.ru/epz/main/public/home.html" TargetMode="External"/><Relationship Id="rId9" Type="http://schemas.openxmlformats.org/officeDocument/2006/relationships/hyperlink" Target="https://zakupki.gov.ru/epz/order/extendedsearch/results.html?searchString=440115833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7B3E3-C578-62CF-64E8-34733699EA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16" width="5.421875" customWidth="1"/>
    <col min="2" max="2" style="11116" width="9.140625" customWidth="1"/>
    <col min="3" max="3" style="11116" width="16.421875" customWidth="1"/>
    <col min="4" max="25" style="11116" width="6.28125" customWidth="1"/>
    <col min="26" max="28" style="1111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3B0EE8-DE98-EB78-8BC8-81CC83835428}" mc:Ignorable="x14ac xr xr2 xr3">
  <sheetPr>
    <tabColor rgb="FFCCCCFF"/>
  </sheetPr>
  <dimension ref="A1:Q79"/>
  <sheetViews>
    <sheetView topLeftCell="A1" showGridLines="0" zoomScale="90" workbookViewId="0">
      <selection activeCell="I22" sqref="I22"/>
    </sheetView>
  </sheetViews>
  <sheetFormatPr defaultColWidth="9.140625" customHeight="1" defaultRowHeight="11.25"/>
  <cols>
    <col min="1" max="1" style="11233" width="10.7109375" hidden="1" customWidth="1"/>
    <col min="2" max="2" style="11234" width="10.7109375" hidden="1" customWidth="1"/>
    <col min="3" max="3" style="11235" width="3.00390625" customWidth="1"/>
    <col min="4" max="4" style="11160" width="1.00390625" customWidth="1"/>
    <col min="5" max="6" style="11160" width="55.00390625" customWidth="1"/>
    <col min="7" max="7" style="11236" width="1.00390625" customWidth="1"/>
    <col min="8" max="8" style="11160" width="18.00390625" hidden="1" customWidth="1"/>
    <col min="9" max="9" style="11237" width="59.00390625" customWidth="1"/>
    <col min="10" max="10" style="11238" width="52.140625" hidden="1" customWidth="1"/>
    <col min="11" max="11" style="11160" width="8.00390625" customWidth="1"/>
    <col min="12" max="12" style="11160" width="77.00390625" customWidth="1"/>
    <col min="13" max="16" style="11160" width="8.00390625" customWidth="1"/>
    <col min="17" max="17" style="11160" width="12.00390625" hidden="1" customWidth="1"/>
  </cols>
  <sheetData>
    <row s="11117" customFormat="1" customHeight="1" ht="3">
      <c r="A1" s="1010"/>
      <c r="B1" s="468"/>
      <c r="F1" s="469" t="s">
        <v>13</v>
      </c>
      <c r="G1" s="638"/>
      <c r="H1" s="298"/>
      <c r="I1" s="638"/>
      <c r="J1" s="1098"/>
      <c r="Q1" s="469" t="s">
        <v>14</v>
      </c>
    </row>
    <row s="11124" customFormat="1" customHeight="1" ht="14.25">
      <c r="A2" s="1010"/>
      <c r="B2" s="325"/>
      <c r="E2" s="1967" t="str">
        <f>code</f>
        <v>Код отчёта: PP108.OPEN.INFO.REQUEST.HOTVSNA.EIAS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135"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13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35" customFormat="1" customHeight="1" ht="6.3">
      <c r="A8" s="1012"/>
      <c r="B8" s="459"/>
      <c r="C8" s="460"/>
      <c r="D8" s="466"/>
      <c r="E8" s="464"/>
      <c r="F8" s="467"/>
      <c r="G8" s="304"/>
      <c r="H8" s="636"/>
      <c r="I8" s="638"/>
      <c r="J8" s="1104"/>
      <c r="Q8" s="463">
        <v>6</v>
      </c>
    </row>
    <row s="1116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35"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45839</v>
      </c>
      <c r="G11" s="304"/>
      <c r="H11" s="1000" t="s">
        <v>22</v>
      </c>
      <c r="J11" s="1103" t="s">
        <v>23</v>
      </c>
      <c r="Q11" s="301">
        <v>0</v>
      </c>
    </row>
    <row customHeight="1" ht="22.5">
      <c r="A12" s="2325"/>
      <c r="D12" s="302"/>
      <c r="E12" s="1392" t="s">
        <v>24</v>
      </c>
      <c r="F12" s="2957">
        <v>47118</v>
      </c>
      <c r="G12" s="300"/>
      <c r="J12" s="1103" t="s">
        <v>25</v>
      </c>
      <c r="Q12" s="301">
        <v>0</v>
      </c>
    </row>
    <row s="11160" customFormat="1" customHeight="1" ht="22.5" hidden="1">
      <c r="A13" s="1015" t="s">
        <v>26</v>
      </c>
      <c r="B13" s="325"/>
      <c r="C13" s="635"/>
      <c r="D13" s="637"/>
      <c r="E13" s="2002" t="s">
        <v>27</v>
      </c>
      <c r="F13" s="1959" t="s">
        <v>28</v>
      </c>
      <c r="G13" s="304"/>
      <c r="H13" s="997"/>
      <c r="I13" s="638"/>
      <c r="J13" s="2003" t="s">
        <v>29</v>
      </c>
      <c r="Q13" s="636">
        <v>0</v>
      </c>
    </row>
    <row s="11160" customFormat="1" customHeight="1" ht="27" hidden="1">
      <c r="A14" s="1015" t="s">
        <v>30</v>
      </c>
      <c r="B14" s="325"/>
      <c r="C14" s="635"/>
      <c r="D14" s="637"/>
      <c r="E14" s="1392" t="s">
        <v>31</v>
      </c>
      <c r="F14" s="1994"/>
      <c r="G14" s="304"/>
      <c r="H14" s="997"/>
      <c r="I14" s="638"/>
      <c r="J14" s="1103" t="s">
        <v>32</v>
      </c>
      <c r="Q14" s="636">
        <v>0</v>
      </c>
    </row>
    <row s="11160" customFormat="1" customHeight="1" ht="19.5" hidden="1">
      <c r="A15" s="1015" t="s">
        <v>33</v>
      </c>
      <c r="B15" s="325"/>
      <c r="C15" s="635"/>
      <c r="D15" s="637"/>
      <c r="E15" s="1392" t="s">
        <v>34</v>
      </c>
      <c r="F15" s="1994"/>
      <c r="G15" s="304"/>
      <c r="H15" s="997"/>
      <c r="I15" s="638"/>
      <c r="J15" s="1103" t="s">
        <v>35</v>
      </c>
      <c r="Q15" s="636">
        <v>0</v>
      </c>
    </row>
    <row s="11135"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8250">
        <v>45408</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13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135"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2" t="s">
        <v>54</v>
      </c>
      <c r="G37" s="304"/>
      <c r="Q37" s="301">
        <v>20</v>
      </c>
    </row>
    <row s="11135"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22</v>
      </c>
      <c r="Q39" s="301">
        <v>35</v>
      </c>
    </row>
    <row s="11135" customFormat="1" customHeight="1" ht="6" hidden="1">
      <c r="A40" s="1011"/>
      <c r="B40" s="653"/>
      <c r="C40" s="654"/>
      <c r="D40" s="655"/>
      <c r="E40" s="656"/>
      <c r="F40" s="1280"/>
      <c r="G40" s="300"/>
      <c r="H40" s="636"/>
      <c r="I40" s="638"/>
      <c r="J40" s="1103"/>
      <c r="Q40" s="657">
        <v>6</v>
      </c>
    </row>
    <row s="11160"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1135" customFormat="1" customHeight="1" ht="6" hidden="1">
      <c r="A42" s="1011"/>
      <c r="B42" s="653"/>
      <c r="C42" s="654"/>
      <c r="D42" s="655"/>
      <c r="E42" s="656"/>
      <c r="F42" s="1280"/>
      <c r="G42" s="300"/>
      <c r="H42" s="636"/>
      <c r="I42" s="638"/>
      <c r="J42" s="1101"/>
      <c r="Q42" s="657">
        <v>0</v>
      </c>
    </row>
    <row s="11160" customFormat="1" customHeight="1" ht="27" hidden="1">
      <c r="A43" s="1011"/>
      <c r="B43" s="640"/>
      <c r="C43" s="635"/>
      <c r="D43" s="637"/>
      <c r="E43" s="618" t="s">
        <v>56</v>
      </c>
      <c r="F43" s="937" t="s">
        <v>19</v>
      </c>
      <c r="G43" s="300"/>
      <c r="I43" s="638"/>
      <c r="J43" s="1103"/>
      <c r="Q43" s="636">
        <v>0</v>
      </c>
    </row>
    <row s="11160" customFormat="1" customHeight="1" ht="27" hidden="1">
      <c r="A44" s="1011"/>
      <c r="B44" s="640"/>
      <c r="C44" s="635"/>
      <c r="D44" s="637"/>
      <c r="E44" s="1392" t="s">
        <v>57</v>
      </c>
      <c r="F44" s="2115"/>
      <c r="G44" s="300"/>
      <c r="I44" s="638"/>
      <c r="J44" s="1103"/>
      <c r="Q44" s="636">
        <v>0</v>
      </c>
    </row>
    <row s="11135" customFormat="1" customHeight="1" ht="6" hidden="1">
      <c r="A45" s="1011"/>
      <c r="B45" s="653"/>
      <c r="C45" s="654"/>
      <c r="D45" s="655"/>
      <c r="E45" s="656"/>
      <c r="F45" s="1280"/>
      <c r="G45" s="300"/>
      <c r="H45" s="636"/>
      <c r="I45" s="638"/>
      <c r="J45" s="1103"/>
      <c r="Q45" s="657">
        <v>0</v>
      </c>
    </row>
    <row s="11135" customFormat="1" customHeight="1" ht="24.75" hidden="1">
      <c r="A46" s="1011"/>
      <c r="B46" s="653"/>
      <c r="C46" s="654"/>
      <c r="D46" s="655"/>
      <c r="E46" s="1392" t="s">
        <v>58</v>
      </c>
      <c r="F46" s="937" t="s">
        <v>19</v>
      </c>
      <c r="G46" s="300"/>
      <c r="H46" s="636"/>
      <c r="I46" s="638"/>
      <c r="J46" s="1103"/>
      <c r="Q46" s="657">
        <v>0</v>
      </c>
    </row>
    <row s="11160" customFormat="1" customHeight="1" ht="24.75" hidden="1">
      <c r="A47" s="1011"/>
      <c r="B47" s="640"/>
      <c r="C47" s="635"/>
      <c r="D47" s="637"/>
      <c r="E47" s="1392" t="s">
        <v>59</v>
      </c>
      <c r="F47" s="937" t="s">
        <v>19</v>
      </c>
      <c r="G47" s="300"/>
      <c r="I47" s="638"/>
      <c r="J47" s="1103"/>
      <c r="Q47" s="636">
        <v>0</v>
      </c>
    </row>
    <row s="1113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1135" customFormat="1" customHeight="1" ht="6" hidden="1">
      <c r="A50" s="1012"/>
      <c r="B50" s="653"/>
      <c r="C50" s="654"/>
      <c r="D50" s="466"/>
      <c r="E50" s="464"/>
      <c r="F50" s="467"/>
      <c r="G50" s="304"/>
      <c r="H50" s="636"/>
      <c r="I50" s="638"/>
      <c r="J50" s="1103"/>
      <c r="Q50" s="657">
        <v>0</v>
      </c>
    </row>
    <row s="11160" customFormat="1" customHeight="1" ht="28.5" hidden="1">
      <c r="A51" s="1013"/>
      <c r="B51" s="640"/>
      <c r="C51" s="757"/>
      <c r="D51" s="758"/>
      <c r="E51" s="618" t="s">
        <v>60</v>
      </c>
      <c r="F51" s="937" t="s">
        <v>19</v>
      </c>
      <c r="G51" s="759"/>
      <c r="I51" s="761"/>
      <c r="J51" s="1105"/>
      <c r="P51" s="762"/>
      <c r="Q51" s="760">
        <v>0</v>
      </c>
    </row>
    <row s="11135" customFormat="1" customHeight="1" ht="6" hidden="1">
      <c r="A52" s="1012"/>
      <c r="B52" s="653"/>
      <c r="C52" s="654"/>
      <c r="D52" s="466"/>
      <c r="E52" s="464"/>
      <c r="F52" s="467"/>
      <c r="G52" s="304"/>
      <c r="H52" s="636"/>
      <c r="I52" s="638"/>
      <c r="J52" s="1101"/>
      <c r="Q52" s="657">
        <v>0</v>
      </c>
    </row>
    <row s="11160" customFormat="1" customHeight="1" ht="27" hidden="1">
      <c r="A53" s="1013"/>
      <c r="B53" s="640"/>
      <c r="C53" s="757"/>
      <c r="D53" s="758"/>
      <c r="E53" s="618" t="s">
        <v>61</v>
      </c>
      <c r="F53" s="1275" t="s">
        <v>19</v>
      </c>
      <c r="G53" s="759"/>
      <c r="I53" s="761"/>
      <c r="J53" s="1105"/>
      <c r="P53" s="762"/>
      <c r="Q53" s="760">
        <v>0</v>
      </c>
    </row>
    <row s="11160" customFormat="1" customHeight="1" ht="27" hidden="1">
      <c r="A54" s="1013"/>
      <c r="B54" s="640"/>
      <c r="C54" s="757"/>
      <c r="D54" s="758"/>
      <c r="E54" s="618" t="s">
        <v>62</v>
      </c>
      <c r="F54" s="2001"/>
      <c r="G54" s="759"/>
      <c r="I54" s="761"/>
      <c r="J54" s="1105"/>
      <c r="P54" s="762"/>
      <c r="Q54" s="760">
        <v>0</v>
      </c>
    </row>
    <row s="11135" customFormat="1" customHeight="1" ht="6" hidden="1">
      <c r="A55" s="1012"/>
      <c r="B55" s="653"/>
      <c r="C55" s="654"/>
      <c r="D55" s="466"/>
      <c r="E55" s="464"/>
      <c r="F55" s="467"/>
      <c r="G55" s="304"/>
      <c r="H55" s="636"/>
      <c r="I55" s="638"/>
      <c r="J55" s="1101"/>
      <c r="Q55" s="657">
        <v>0</v>
      </c>
    </row>
    <row s="11160" customFormat="1" customHeight="1" ht="25.5" hidden="1">
      <c r="A56" s="1013"/>
      <c r="B56" s="640"/>
      <c r="C56" s="757"/>
      <c r="D56" s="758"/>
      <c r="E56" s="618" t="s">
        <v>63</v>
      </c>
      <c r="F56" s="1275" t="s">
        <v>19</v>
      </c>
      <c r="G56" s="759"/>
      <c r="I56" s="761"/>
      <c r="J56" s="1105"/>
      <c r="P56" s="762"/>
      <c r="Q56" s="760">
        <v>0</v>
      </c>
    </row>
    <row s="11135" customFormat="1" customHeight="1" ht="6" hidden="1">
      <c r="A57" s="1012"/>
      <c r="B57" s="653"/>
      <c r="C57" s="654"/>
      <c r="D57" s="466"/>
      <c r="E57" s="464"/>
      <c r="F57" s="467"/>
      <c r="G57" s="304"/>
      <c r="H57" s="636"/>
      <c r="I57" s="638"/>
      <c r="J57" s="1101"/>
      <c r="Q57" s="657">
        <v>0</v>
      </c>
    </row>
    <row s="11160" customFormat="1" customHeight="1" ht="15" hidden="1">
      <c r="A58" s="1013"/>
      <c r="B58" s="640"/>
      <c r="C58" s="757"/>
      <c r="D58" s="758"/>
      <c r="E58" s="618" t="s">
        <v>64</v>
      </c>
      <c r="F58" s="1275" t="s">
        <v>65</v>
      </c>
      <c r="G58" s="759"/>
      <c r="I58" s="761"/>
      <c r="J58" s="1105"/>
      <c r="P58" s="762"/>
      <c r="Q58" s="760">
        <v>0</v>
      </c>
    </row>
    <row s="1116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9"/>
      <c r="I59" s="761"/>
      <c r="J59" s="1105"/>
      <c r="P59" s="762"/>
      <c r="Q59" s="760">
        <v>0</v>
      </c>
    </row>
    <row s="11160" customFormat="1" customHeight="1" ht="15" hidden="1">
      <c r="A60" s="1013"/>
      <c r="B60" s="640"/>
      <c r="C60" s="757"/>
      <c r="D60" s="758"/>
      <c r="E60" s="1392" t="s">
        <v>66</v>
      </c>
      <c r="F60" s="1378"/>
      <c r="G60" s="759"/>
      <c r="I60" s="761"/>
      <c r="J60" s="1105"/>
      <c r="P60" s="762"/>
      <c r="Q60" s="760">
        <v>0</v>
      </c>
    </row>
    <row s="11135" customFormat="1" customHeight="1" ht="6" hidden="1">
      <c r="A61" s="1012"/>
      <c r="B61" s="653"/>
      <c r="C61" s="654"/>
      <c r="D61" s="655"/>
      <c r="E61" s="656"/>
      <c r="F61" s="1280"/>
      <c r="G61" s="300"/>
      <c r="H61" s="636"/>
      <c r="I61" s="638"/>
      <c r="J61" s="1103"/>
      <c r="Q61" s="657">
        <v>0</v>
      </c>
    </row>
    <row s="11160" customFormat="1" customHeight="1" ht="33.75" hidden="1">
      <c r="A62" s="1012"/>
      <c r="B62" s="325"/>
      <c r="C62" s="635"/>
      <c r="D62" s="637"/>
      <c r="E62" s="1392" t="s">
        <v>67</v>
      </c>
      <c r="F62" s="1898" t="s">
        <v>65</v>
      </c>
      <c r="G62" s="300"/>
      <c r="H62" s="1000" t="s">
        <v>22</v>
      </c>
      <c r="I62" s="638"/>
      <c r="J62" s="1103"/>
      <c r="Q62" s="636">
        <v>0</v>
      </c>
    </row>
    <row s="11135"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D5DAAC-88F5-C028-C9C9-677D3055C553}"/>
    <hyperlink ref="H17" location="Титульный!H9" display="Как заполнить?" tooltip="Помощь по работе с полями отчётной формы" xr:uid="{E99F7D91-79D8-8DB5-69F8-F0A14B83DA57}"/>
    <hyperlink ref="H39" location="Титульный!H9" display="Как заполнить?" tooltip="Помощь по работе с полями отчётной формы" xr:uid="{44F39ACD-7458-79D8-2CA8-55187B6B70B8}"/>
    <hyperlink ref="H62" location="Титульный!H9" display="Как заполнить?" tooltip="Помощь по работе с полями отчётной формы" xr:uid="{904D2AF8-0FC6-B408-3F88-38CF1FF055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EA759-8548-2368-E78E-6A9E52293C4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160" width="8.00390625" hidden="1" customWidth="1"/>
    <col min="2" max="2" style="11238" width="6.00390625" hidden="1" customWidth="1"/>
    <col min="3" max="3" style="11160" width="3.00390625" customWidth="1"/>
    <col min="4" max="4" style="11327" width="3.00390625" customWidth="1"/>
    <col min="5" max="5" style="11160" width="6.00390625" customWidth="1"/>
    <col min="6" max="6" style="11160" width="2.7109375" hidden="1" customWidth="1"/>
    <col min="7" max="7" style="11160" width="46.7109375" customWidth="1"/>
    <col min="8" max="8" style="11160" width="42.00390625" customWidth="1"/>
    <col min="9" max="9" style="11160" width="14.00390625" customWidth="1"/>
    <col min="10" max="10" style="11328" width="3.00390625" customWidth="1"/>
    <col min="11" max="13" style="11328" width="9.140625" hidden="1"/>
    <col min="14" max="14" style="11328" width="25.7109375" hidden="1" customWidth="1"/>
    <col min="15" max="15" style="11328" width="14.421875" hidden="1" customWidth="1"/>
    <col min="16" max="19" style="11329" width="9.140625" hidden="1"/>
    <col min="20" max="27" style="11160" width="9.140625" hidden="1"/>
    <col min="28" max="28" style="11160" width="8.00390625" customWidth="1"/>
    <col min="29" max="29" style="11160" width="9.140625" hidden="1"/>
  </cols>
  <sheetData>
    <row s="11239"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248"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54" customFormat="1" customHeight="1" ht="3">
      <c r="A3" s="985"/>
      <c r="B3" s="644"/>
      <c r="C3" s="985"/>
      <c r="D3" s="391"/>
      <c r="E3" s="330"/>
      <c r="F3" s="736"/>
      <c r="G3" s="330"/>
      <c r="H3" s="330"/>
      <c r="I3" s="393"/>
      <c r="J3" s="474"/>
      <c r="K3" s="382"/>
      <c r="L3" s="382"/>
      <c r="M3" s="382"/>
      <c r="N3" s="453"/>
      <c r="O3" s="382"/>
      <c r="P3" s="452"/>
      <c r="Q3" s="452"/>
      <c r="R3" s="452"/>
      <c r="S3" s="452"/>
      <c r="AC3" s="343">
        <v>3</v>
      </c>
    </row>
    <row s="11254"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254" customFormat="1" customHeight="1" ht="3">
      <c r="A5" s="985"/>
      <c r="B5" s="644"/>
      <c r="C5" s="985"/>
      <c r="D5" s="391"/>
      <c r="E5" s="330"/>
      <c r="F5" s="736"/>
      <c r="G5" s="394"/>
      <c r="H5" s="394"/>
      <c r="I5" s="395"/>
      <c r="J5" s="382"/>
      <c r="K5" s="382"/>
      <c r="L5" s="382"/>
      <c r="M5" s="382"/>
      <c r="N5" s="453"/>
      <c r="O5" s="382"/>
      <c r="P5" s="452"/>
      <c r="Q5" s="452"/>
      <c r="R5" s="452"/>
      <c r="S5" s="452"/>
      <c r="AC5" s="343">
        <v>3</v>
      </c>
    </row>
    <row s="11254"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54"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254"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254"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254"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299"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город Рыбинск(78715000)</v>
      </c>
      <c r="P13" s="644"/>
      <c r="Q13" s="644"/>
      <c r="R13" s="647"/>
      <c r="S13" s="644"/>
      <c r="T13" s="644"/>
      <c r="U13" s="644"/>
      <c r="V13" s="649"/>
      <c r="W13" s="649"/>
      <c r="X13" s="646"/>
      <c r="Y13" s="646"/>
      <c r="Z13" s="646"/>
      <c r="AA13" s="646"/>
      <c r="AB13" s="646"/>
      <c r="AC13" s="650">
        <v>15</v>
      </c>
    </row>
    <row s="11299"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254"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254"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254"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254"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22" customFormat="1" customHeight="1" ht="10.5">
      <c r="B19" s="1061"/>
      <c r="D19" s="409"/>
      <c r="J19" s="382"/>
      <c r="K19" s="382"/>
      <c r="L19" s="382"/>
      <c r="M19" s="382"/>
      <c r="N19" s="453"/>
      <c r="O19" s="382"/>
      <c r="P19" s="452"/>
      <c r="Q19" s="452"/>
      <c r="R19" s="452"/>
      <c r="S19" s="452"/>
      <c r="AC19" s="408">
        <v>10</v>
      </c>
    </row>
    <row s="11322"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920ED-C6F2-3BE8-0065-1B4F4DC368A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365" width="6.421875" hidden="1" customWidth="1"/>
    <col min="2" max="2" style="11365" width="2.00390625" hidden="1" customWidth="1"/>
    <col min="3" max="3" style="11365" width="3.00390625" customWidth="1"/>
    <col min="4" max="4" style="11365" width="4.00390625" customWidth="1"/>
    <col min="5" max="5" style="11365" width="44.00390625" customWidth="1"/>
    <col min="6" max="6" style="11365" width="6.421875" customWidth="1"/>
    <col min="7" max="7" style="11365" width="4.00390625" customWidth="1"/>
    <col min="8" max="8" style="11365" width="5.00390625" customWidth="1"/>
    <col min="9" max="9" style="11365" width="52.00390625" customWidth="1"/>
    <col min="10" max="10" style="11365" width="7.00390625" customWidth="1"/>
    <col min="11" max="11" style="11365" width="3.00390625" customWidth="1"/>
    <col min="12" max="12" style="11365" width="6.00390625" customWidth="1"/>
    <col min="13" max="13" style="11365" width="56.00390625" customWidth="1"/>
    <col min="14" max="14" style="11416" width="8.00390625" customWidth="1"/>
    <col min="15" max="20" style="11328" width="9.140625" hidden="1"/>
    <col min="21" max="24" style="11417" width="9.140625" hidden="1"/>
    <col min="25" max="37" style="11416" width="9.140625" hidden="1"/>
    <col min="38" max="38" style="11416" width="8.00390625" customWidth="1"/>
    <col min="39" max="39" style="11365"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336" customFormat="1" customHeight="1" ht="14.699999999999998">
      <c r="A5" s="812"/>
      <c r="B5" s="812"/>
      <c r="C5" s="812"/>
      <c r="D5" s="2349" t="str">
        <f>IF(org=0,"Не определено",org)</f>
        <v>ООО "Рыбинская генерация"</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36"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36"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87</v>
      </c>
      <c r="E10" s="750" t="s">
        <v>88</v>
      </c>
      <c r="F10" s="750" t="s">
        <v>107</v>
      </c>
      <c r="G10" s="2360" t="s">
        <v>87</v>
      </c>
      <c r="H10" s="2361"/>
      <c r="I10" s="750" t="s">
        <v>88</v>
      </c>
      <c r="J10" s="750" t="s">
        <v>107</v>
      </c>
      <c r="K10" s="2360" t="s">
        <v>87</v>
      </c>
      <c r="L10" s="2361"/>
      <c r="M10" s="750" t="s">
        <v>88</v>
      </c>
      <c r="N10" s="1854"/>
      <c r="AM10" s="810">
        <v>23</v>
      </c>
    </row>
    <row s="11365" customFormat="1" customHeight="1" ht="11.25" hidden="1">
      <c r="A11" s="820"/>
      <c r="B11" s="820"/>
      <c r="C11" s="820"/>
      <c r="D11" s="821" t="s">
        <v>108</v>
      </c>
      <c r="E11" s="821" t="s">
        <v>109</v>
      </c>
      <c r="F11" s="821" t="s">
        <v>89</v>
      </c>
      <c r="G11" s="2342" t="s">
        <v>90</v>
      </c>
      <c r="H11" s="2343"/>
      <c r="I11" s="821" t="s">
        <v>110</v>
      </c>
      <c r="J11" s="821" t="s">
        <v>91</v>
      </c>
      <c r="K11" s="2344" t="s">
        <v>92</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365" customFormat="1" customHeight="1" ht="15.75">
      <c r="A13" s="520"/>
      <c r="B13" s="520"/>
      <c r="C13" s="753"/>
      <c r="D13" s="2335" t="s">
        <v>108</v>
      </c>
      <c r="E13" s="2336"/>
      <c r="F13" s="2339" t="s">
        <v>65</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365"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65"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9DA94-9528-6868-3558-4279D9AED348}" mc:Ignorable="x14ac xr xr2 xr3">
  <sheetPr>
    <tabColor rgb="FFCCCCFF"/>
  </sheetPr>
  <dimension ref="A1:AR146"/>
  <sheetViews>
    <sheetView topLeftCell="A1" showGridLines="0" zoomScale="90" workbookViewId="0">
      <selection activeCell="G105" sqref="G105:G109"/>
    </sheetView>
  </sheetViews>
  <sheetFormatPr defaultColWidth="9.140625" customHeight="1" defaultRowHeight="11.25"/>
  <cols>
    <col min="1" max="2" style="11328" width="3.7109375" hidden="1" customWidth="1"/>
    <col min="3" max="3" style="11365" width="3.00390625" customWidth="1"/>
    <col min="4" max="4" style="11365" width="6.00390625" customWidth="1"/>
    <col min="5" max="5" style="11365" width="42.00390625" customWidth="1"/>
    <col min="6" max="6" style="11365" width="15.00390625" customWidth="1"/>
    <col min="7" max="7" style="11365" width="42.00390625" customWidth="1"/>
    <col min="8" max="8" style="11365" width="3.00390625" customWidth="1"/>
    <col min="9" max="9" style="11365" width="5.00390625" customWidth="1"/>
    <col min="10" max="10" style="11365" width="47.00390625" customWidth="1"/>
    <col min="11" max="12" style="11365" width="3.00390625" customWidth="1"/>
    <col min="13" max="13" style="11365" width="5.00390625" customWidth="1"/>
    <col min="14" max="14" style="11365" width="28.00390625" customWidth="1"/>
    <col min="15" max="16" style="11365" width="3.00390625" customWidth="1"/>
    <col min="17" max="17" style="11365" width="5.00390625" customWidth="1"/>
    <col min="18" max="18" style="11365" width="34.00390625" customWidth="1"/>
    <col min="19" max="20" style="11365" width="3.7109375" hidden="1" customWidth="1"/>
    <col min="21" max="21" style="11365" width="5.7109375" hidden="1" customWidth="1"/>
    <col min="22" max="22" style="11365" width="34.421875" hidden="1" customWidth="1"/>
    <col min="23" max="23" style="11365" width="30.00390625" customWidth="1"/>
    <col min="24" max="24" style="11365" width="3.00390625" customWidth="1"/>
    <col min="25" max="28" style="11417" width="9.8515625" hidden="1" customWidth="1"/>
    <col min="29" max="29" style="11417" width="27.00390625" hidden="1" customWidth="1"/>
    <col min="30" max="30" style="11417" width="10.57421875" hidden="1" customWidth="1"/>
    <col min="31" max="31" style="11417" width="10.7109375" hidden="1" customWidth="1"/>
    <col min="32" max="32" style="11417" width="10.00390625" hidden="1" customWidth="1"/>
    <col min="33" max="33" style="11417" width="12.8515625" hidden="1" customWidth="1"/>
    <col min="34" max="34" style="11417" width="24.421875" hidden="1" customWidth="1"/>
    <col min="35" max="35" style="11417" width="15.8515625" hidden="1" customWidth="1"/>
    <col min="36" max="36" style="11417" width="19.421875" hidden="1" customWidth="1"/>
    <col min="37" max="37" style="11417" width="11.00390625" hidden="1" customWidth="1"/>
    <col min="38" max="38" style="11417" width="23.57421875" hidden="1" customWidth="1"/>
    <col min="39" max="39" style="11417" width="23.8515625" hidden="1" customWidth="1"/>
    <col min="40" max="40" style="11417" width="25.28125" hidden="1" customWidth="1"/>
    <col min="41" max="41" style="11417" width="16.8515625" hidden="1" customWidth="1"/>
    <col min="42" max="42" style="11417" width="29.57421875" hidden="1" customWidth="1"/>
    <col min="43" max="43" style="11417" width="29.8515625" hidden="1" customWidth="1"/>
    <col min="44" max="44" style="11365" width="9.140625" hidden="1"/>
  </cols>
  <sheetData>
    <row customHeight="1" ht="11.25" hidden="1">
      <c r="A1" s="383"/>
      <c r="AR1" s="331" t="s">
        <v>14</v>
      </c>
    </row>
    <row customHeight="1" ht="11.25" hidden="1">
      <c r="AR2" s="331">
        <v>0</v>
      </c>
    </row>
    <row customHeight="1" ht="11.25" hidden="1">
      <c r="AR3" s="331">
        <v>0</v>
      </c>
    </row>
    <row customHeight="1" ht="3">
      <c r="AR4" s="331">
        <v>3</v>
      </c>
    </row>
    <row s="11336"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36" customFormat="1" customHeight="1" ht="14.699999999999998">
      <c r="A6" s="812"/>
      <c r="B6" s="812"/>
      <c r="C6" s="812"/>
      <c r="D6" s="2390" t="str">
        <f>IF(org=0,"Не определено",org)</f>
        <v>ООО "Рыбинская генерация"</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3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36"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121</v>
      </c>
      <c r="F9" s="2330"/>
      <c r="G9" s="2354" t="s">
        <v>104</v>
      </c>
      <c r="H9" s="2354" t="s">
        <v>87</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88</v>
      </c>
      <c r="F10" s="1511" t="s">
        <v>127</v>
      </c>
      <c r="G10" s="2354"/>
      <c r="H10" s="2354"/>
      <c r="I10" s="2354"/>
      <c r="J10" s="2354"/>
      <c r="K10" s="337" t="s">
        <v>107</v>
      </c>
      <c r="L10" s="2354" t="s">
        <v>87</v>
      </c>
      <c r="M10" s="2354"/>
      <c r="N10" s="337" t="s">
        <v>128</v>
      </c>
      <c r="O10" s="337" t="s">
        <v>107</v>
      </c>
      <c r="P10" s="2354" t="s">
        <v>87</v>
      </c>
      <c r="Q10" s="2354"/>
      <c r="R10" s="337" t="s">
        <v>128</v>
      </c>
      <c r="S10" s="510" t="s">
        <v>107</v>
      </c>
      <c r="T10" s="2354" t="s">
        <v>87</v>
      </c>
      <c r="U10" s="2354"/>
      <c r="V10" s="510" t="s">
        <v>88</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328" customFormat="1" customHeight="1" ht="12" hidden="1">
      <c r="D11" s="1476" t="s">
        <v>108</v>
      </c>
      <c r="E11" s="1476" t="s">
        <v>109</v>
      </c>
      <c r="F11" s="1476"/>
      <c r="G11" s="1476" t="s">
        <v>89</v>
      </c>
      <c r="H11" s="2383" t="s">
        <v>110</v>
      </c>
      <c r="I11" s="2383"/>
      <c r="J11" s="1476" t="s">
        <v>91</v>
      </c>
      <c r="K11" s="1476" t="s">
        <v>92</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65" customFormat="1" customHeight="1" ht="17.25" hidden="1">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65"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65"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65"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65"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65"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159</v>
      </c>
      <c r="AD18" s="1494" t="s">
        <v>160</v>
      </c>
      <c r="AE18" s="1494" t="s">
        <v>161</v>
      </c>
      <c r="AF18" s="1494" t="s">
        <v>162</v>
      </c>
      <c r="AG18" s="1494" t="s">
        <v>163</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365"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65"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65"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65"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65" customFormat="1" customHeight="1" ht="17.25" hidden="1">
      <c r="A23" s="548"/>
      <c r="C23" s="436"/>
      <c r="D23" s="2362">
        <v>2</v>
      </c>
      <c r="E23" s="2370" t="s">
        <v>164</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159</v>
      </c>
      <c r="AD23" s="1494" t="s">
        <v>160</v>
      </c>
      <c r="AE23" s="1494" t="s">
        <v>161</v>
      </c>
      <c r="AF23" s="1494" t="s">
        <v>162</v>
      </c>
      <c r="AG23" s="1494" t="s">
        <v>163</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365"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65"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65"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65"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65" customFormat="1" customHeight="1" ht="17.25" hidden="1">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365"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65"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65"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65"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65" customFormat="1" customHeight="1" ht="17.25" hidden="1">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365"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65"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65"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65"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65" customFormat="1" customHeight="1" ht="17.25" hidden="1">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65"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65"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65"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65"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65" customFormat="1" customHeight="1" ht="17.25" hidden="1">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65"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65"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65"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65"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65" customFormat="1" customHeight="1" ht="17.25" hidden="1">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65"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65"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65"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65"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65" customFormat="1" customHeight="1" ht="17.25" hidden="1">
      <c r="A53" s="548"/>
      <c r="C53" s="436"/>
      <c r="D53" s="2362">
        <v>8</v>
      </c>
      <c r="E53" s="2370" t="s">
        <v>195</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196</v>
      </c>
      <c r="AD53" s="1494" t="s">
        <v>197</v>
      </c>
      <c r="AE53" s="1494" t="s">
        <v>198</v>
      </c>
      <c r="AF53" s="1494" t="s">
        <v>199</v>
      </c>
      <c r="AG53" s="1494" t="s">
        <v>200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65"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65"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65"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65"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65" customFormat="1" customHeight="1" ht="17.25" hidden="1">
      <c r="A58" s="548"/>
      <c r="C58" s="436"/>
      <c r="D58" s="2362">
        <v>9</v>
      </c>
      <c r="E58" s="2370" t="s">
        <v>201</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202</v>
      </c>
      <c r="AD58" s="1494" t="s">
        <v>203</v>
      </c>
      <c r="AE58" s="1494" t="s">
        <v>204</v>
      </c>
      <c r="AF58" s="1494" t="s">
        <v>205</v>
      </c>
      <c r="AG58" s="1494" t="s">
        <v>206</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65"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65"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65"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65"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65" customFormat="1" customHeight="1" ht="17.25" hidden="1">
      <c r="A63" s="548"/>
      <c r="C63" s="436"/>
      <c r="D63" s="2362">
        <v>10</v>
      </c>
      <c r="E63" s="2370" t="s">
        <v>207</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208</v>
      </c>
      <c r="AD63" s="1494" t="s">
        <v>209</v>
      </c>
      <c r="AE63" s="1494" t="s">
        <v>210</v>
      </c>
      <c r="AF63" s="1494" t="s">
        <v>211</v>
      </c>
      <c r="AG63" s="1494" t="s">
        <v>212</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65"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65"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65"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65"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213</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214</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215</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216</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217</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218</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219</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220</v>
      </c>
      <c r="F77" s="2399"/>
      <c r="G77" s="2400"/>
      <c r="H77" s="2400"/>
      <c r="I77" s="2400"/>
      <c r="J77" s="2400"/>
      <c r="K77" s="2400"/>
      <c r="L77" s="2400"/>
      <c r="M77" s="2400"/>
      <c r="N77" s="2400"/>
      <c r="O77" s="2400"/>
      <c r="P77" s="2400"/>
      <c r="Q77" s="2400"/>
      <c r="R77" s="2400"/>
      <c r="S77" s="2400"/>
      <c r="T77" s="2400"/>
      <c r="U77" s="2400"/>
      <c r="V77" s="2400"/>
      <c r="W77" s="2400"/>
      <c r="AR77" s="331">
        <v>0</v>
      </c>
    </row>
    <row s="11365"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65" customFormat="1" customHeight="1" ht="17.25" hidden="1">
      <c r="A79" s="548"/>
      <c r="C79" s="436"/>
      <c r="D79" s="2362">
        <v>1</v>
      </c>
      <c r="E79" s="2370" t="s">
        <v>221</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222</v>
      </c>
      <c r="AD79" s="1494" t="s">
        <v>223</v>
      </c>
      <c r="AE79" s="1494" t="s">
        <v>224</v>
      </c>
      <c r="AF79" s="1494" t="s">
        <v>225</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65"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65"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65"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65"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65" customFormat="1" customHeight="1" ht="17.25" hidden="1">
      <c r="A84" s="548"/>
      <c r="C84" s="436"/>
      <c r="D84" s="2362">
        <v>2</v>
      </c>
      <c r="E84" s="2370" t="s">
        <v>226</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227</v>
      </c>
      <c r="AD84" s="1494" t="s">
        <v>228</v>
      </c>
      <c r="AE84" s="1494" t="s">
        <v>229</v>
      </c>
      <c r="AF84" s="1494" t="s">
        <v>230</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365"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65"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65"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65"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65" customFormat="1" customHeight="1" ht="17.25" hidden="1">
      <c r="A89" s="548"/>
      <c r="C89" s="436"/>
      <c r="D89" s="2362">
        <v>3</v>
      </c>
      <c r="E89" s="2370" t="s">
        <v>231</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232</v>
      </c>
      <c r="AD89" s="1494" t="s">
        <v>233</v>
      </c>
      <c r="AE89" s="1494" t="s">
        <v>234</v>
      </c>
      <c r="AF89" s="1494" t="s">
        <v>235</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65"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65"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65"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65"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65" customFormat="1" customHeight="1" ht="17.25" hidden="1">
      <c r="A94" s="548"/>
      <c r="C94" s="436"/>
      <c r="D94" s="2362">
        <v>4</v>
      </c>
      <c r="E94" s="2370" t="s">
        <v>236</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237</v>
      </c>
      <c r="AD94" s="1494" t="s">
        <v>238</v>
      </c>
      <c r="AE94" s="1494" t="s">
        <v>239</v>
      </c>
      <c r="AF94" s="1494" t="s">
        <v>240</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65"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65"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65"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65"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65" customFormat="1" customHeight="1" ht="17.25" hidden="1">
      <c r="A99" s="548"/>
      <c r="C99" s="436"/>
      <c r="D99" s="2362">
        <v>5</v>
      </c>
      <c r="E99" s="2370" t="s">
        <v>241</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242</v>
      </c>
      <c r="AD99" s="1494" t="s">
        <v>243</v>
      </c>
      <c r="AE99" s="1494" t="s">
        <v>244</v>
      </c>
      <c r="AF99" s="1494" t="s">
        <v>245</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65"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65"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65"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65"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65"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65" customFormat="1" customHeight="1" ht="17.25">
      <c r="A105" s="548"/>
      <c r="C105" s="436"/>
      <c r="D105" s="2362">
        <v>1</v>
      </c>
      <c r="E105" s="2370" t="s">
        <v>246</v>
      </c>
      <c r="F105" s="2372" t="s">
        <v>65</v>
      </c>
      <c r="G105" s="3320" t="str">
        <f>INDEX(VD_NAME_LIST,MATCH("4189702",VD_ID_LIST,0))</f>
        <v>Горячее водоснабжение</v>
      </c>
      <c r="H105" s="3321"/>
      <c r="I105" s="3321">
        <v>1</v>
      </c>
      <c r="J105" s="3322" t="s">
        <v>247</v>
      </c>
      <c r="K105" s="3323" t="s">
        <v>19</v>
      </c>
      <c r="L105" s="3324"/>
      <c r="M105" s="3324" t="s">
        <v>108</v>
      </c>
      <c r="N105" s="8612" t="s">
        <v>28</v>
      </c>
      <c r="O105" s="3323" t="s">
        <v>19</v>
      </c>
      <c r="P105" s="3324"/>
      <c r="Q105" s="3324" t="s">
        <v>108</v>
      </c>
      <c r="R105" s="3326" t="s">
        <v>28</v>
      </c>
      <c r="S105" s="3327" t="s">
        <v>19</v>
      </c>
      <c r="T105" s="3327"/>
      <c r="U105" s="3327" t="s">
        <v>108</v>
      </c>
      <c r="V105" s="3328"/>
      <c r="W105" s="3322"/>
      <c r="Y105" s="1494"/>
      <c r="Z105" s="1494"/>
      <c r="AA105" s="1494"/>
      <c r="AB105" s="1494" t="s">
        <v>248</v>
      </c>
      <c r="AC105" s="1494" t="s">
        <v>249</v>
      </c>
      <c r="AD105" s="1494" t="s">
        <v>250</v>
      </c>
      <c r="AE105" s="1494" t="s">
        <v>251</v>
      </c>
      <c r="AF105" s="1494" t="s">
        <v>252</v>
      </c>
      <c r="AG105" s="1494"/>
      <c r="AH105" s="1494" t="str">
        <f>IF($E$105=0,"",$E$105)</f>
        <v>Тариф на горячую воду (горячее водоснабжение)</v>
      </c>
      <c r="AI105" s="1494" t="str">
        <f>IF($G$105=0,"",$G$105)</f>
        <v>Горячее водоснабжение</v>
      </c>
      <c r="AJ105" s="1494" t="str">
        <f>IF($J$105=0,"",$J$105)</f>
        <v>тариф на горячую воду</v>
      </c>
      <c r="AK105" s="1494" t="str">
        <f>IF($K$105="нет","без дифференциации",IF($N$105=0,"",$N$105))</f>
        <v>без дифференциации</v>
      </c>
      <c r="AL105" s="1494" t="str">
        <f>IF($O$105="нет","без дифференциации",IF($R$105=0,"",$R$105))</f>
        <v>без дифференциации</v>
      </c>
      <c r="AM105" s="1494" t="str">
        <f>IF($S$105="нет","без дифференциации",IF($V$105=0,"",$V$105))</f>
        <v>без дифференциации</v>
      </c>
      <c r="AN105" s="1494">
        <f>$I$105</f>
        <v>1</v>
      </c>
      <c r="AO105" s="1494" t="str">
        <f>$I$105&amp;"."&amp;$M$105</f>
        <v>1.1</v>
      </c>
      <c r="AP105" s="1494" t="str">
        <f>$I$105&amp;"."&amp;$M$105&amp;"."&amp;$Q$105</f>
        <v>1.1.1</v>
      </c>
      <c r="AQ105" s="1494" t="str">
        <f>$I$105&amp;"."&amp;$M$105&amp;"."&amp;$Q$105&amp;"."&amp;$U$105</f>
        <v>1.1.1.1</v>
      </c>
      <c r="AR105" s="1694">
        <v>0</v>
      </c>
    </row>
    <row s="11365" customFormat="1" customHeight="1" ht="17.25">
      <c r="A106" s="548"/>
      <c r="C106" s="547"/>
      <c r="D106" s="2362"/>
      <c r="E106" s="2370"/>
      <c r="F106" s="2373"/>
      <c r="G106" s="3320"/>
      <c r="H106" s="3321"/>
      <c r="I106" s="3321"/>
      <c r="J106" s="3322"/>
      <c r="K106" s="3329"/>
      <c r="L106" s="3324"/>
      <c r="M106" s="3324"/>
      <c r="N106" s="8612" t="s">
        <v>28</v>
      </c>
      <c r="O106" s="3329"/>
      <c r="P106" s="3324"/>
      <c r="Q106" s="3324"/>
      <c r="R106" s="3326" t="s">
        <v>28</v>
      </c>
      <c r="S106" s="3327"/>
      <c r="T106" s="3330"/>
      <c r="U106" s="3331"/>
      <c r="V106" s="3331"/>
      <c r="W106" s="3322"/>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65" customFormat="1" customHeight="1" ht="17.25">
      <c r="A107" s="548"/>
      <c r="C107" s="436"/>
      <c r="D107" s="2362"/>
      <c r="E107" s="2370"/>
      <c r="F107" s="2373"/>
      <c r="G107" s="3320"/>
      <c r="H107" s="3332"/>
      <c r="I107" s="3332"/>
      <c r="J107" s="3333"/>
      <c r="K107" s="3329"/>
      <c r="L107" s="3332"/>
      <c r="M107" s="3332"/>
      <c r="N107" s="8621" t="s">
        <v>28</v>
      </c>
      <c r="O107" s="3335"/>
      <c r="P107" s="3336"/>
      <c r="Q107" s="3337"/>
      <c r="R107" s="3338" t="s">
        <v>253</v>
      </c>
      <c r="S107" s="3339"/>
      <c r="T107" s="3340"/>
      <c r="U107" s="3341"/>
      <c r="V107" s="3342"/>
      <c r="W107" s="3343"/>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65" customFormat="1" customHeight="1" ht="17.25">
      <c r="A108" s="548"/>
      <c r="C108" s="547"/>
      <c r="D108" s="2362"/>
      <c r="E108" s="2370"/>
      <c r="F108" s="2373"/>
      <c r="G108" s="3320"/>
      <c r="H108" s="3332"/>
      <c r="I108" s="3332"/>
      <c r="J108" s="3333"/>
      <c r="K108" s="3335"/>
      <c r="L108" s="3344"/>
      <c r="M108" s="3345"/>
      <c r="N108" s="3346" t="s">
        <v>254</v>
      </c>
      <c r="O108" s="3347"/>
      <c r="P108" s="3348"/>
      <c r="Q108" s="3349"/>
      <c r="R108" s="3350"/>
      <c r="S108" s="3351"/>
      <c r="T108" s="3352"/>
      <c r="U108" s="3353"/>
      <c r="V108" s="3354"/>
      <c r="W108" s="335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65" customFormat="1" customHeight="1" ht="17.25">
      <c r="A109" s="548"/>
      <c r="C109" s="547"/>
      <c r="D109" s="2363"/>
      <c r="E109" s="2371"/>
      <c r="F109" s="2374"/>
      <c r="G109" s="3356"/>
      <c r="H109" s="3357"/>
      <c r="I109" s="3358"/>
      <c r="J109" s="3359" t="s">
        <v>255</v>
      </c>
      <c r="K109" s="3360"/>
      <c r="L109" s="3361"/>
      <c r="M109" s="3362"/>
      <c r="N109" s="3363"/>
      <c r="O109" s="3364"/>
      <c r="P109" s="3365"/>
      <c r="Q109" s="3366"/>
      <c r="R109" s="3367"/>
      <c r="S109" s="3368"/>
      <c r="T109" s="3369"/>
      <c r="U109" s="3370"/>
      <c r="V109" s="3371"/>
      <c r="W109" s="3372"/>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65" customFormat="1" customHeight="1" ht="17.25">
      <c r="A110" s="548"/>
      <c r="C110" s="436"/>
      <c r="D110" s="2362">
        <v>2</v>
      </c>
      <c r="E110" s="2370" t="s">
        <v>256</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257</v>
      </c>
      <c r="AD110" s="1494" t="s">
        <v>258</v>
      </c>
      <c r="AE110" s="1494" t="s">
        <v>259</v>
      </c>
      <c r="AF110" s="1494" t="s">
        <v>260</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65" customFormat="1" customHeight="1" ht="17.25">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65" customFormat="1" customHeight="1" ht="17.25">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65" customFormat="1" customHeight="1" ht="17.25">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65" customFormat="1" customHeight="1" ht="17.25">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65" customFormat="1" customHeight="1" ht="17.25">
      <c r="A115" s="548"/>
      <c r="C115" s="436"/>
      <c r="D115" s="2362">
        <v>3</v>
      </c>
      <c r="E115" s="2370" t="s">
        <v>261</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262</v>
      </c>
      <c r="AD115" s="1494" t="s">
        <v>263</v>
      </c>
      <c r="AE115" s="1494" t="s">
        <v>264</v>
      </c>
      <c r="AF115" s="1494" t="s">
        <v>265</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65" customFormat="1" customHeight="1" ht="17.25">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65" customFormat="1" customHeight="1" ht="17.25">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65" customFormat="1" customHeight="1" ht="17.25">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65" customFormat="1" customHeight="1" ht="17.25">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65"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65" customFormat="1" customHeight="1" ht="17.25" hidden="1">
      <c r="A121" s="548"/>
      <c r="C121" s="436"/>
      <c r="D121" s="2362">
        <v>1</v>
      </c>
      <c r="E121" s="2370" t="s">
        <v>266</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267</v>
      </c>
      <c r="AD121" s="1494" t="s">
        <v>268</v>
      </c>
      <c r="AE121" s="1494" t="s">
        <v>269</v>
      </c>
      <c r="AF121" s="1494" t="s">
        <v>270</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65"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65"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65"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65"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65" customFormat="1" customHeight="1" ht="17.25" hidden="1">
      <c r="A126" s="548"/>
      <c r="C126" s="436"/>
      <c r="D126" s="2362">
        <v>2</v>
      </c>
      <c r="E126" s="2370" t="s">
        <v>271</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272</v>
      </c>
      <c r="AD126" s="1494" t="s">
        <v>273</v>
      </c>
      <c r="AE126" s="1494" t="s">
        <v>274</v>
      </c>
      <c r="AF126" s="1494" t="s">
        <v>275</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65"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65"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65"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65"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65" customFormat="1" customHeight="1" ht="17.25" hidden="1">
      <c r="A131" s="548"/>
      <c r="C131" s="436"/>
      <c r="D131" s="2362">
        <v>3</v>
      </c>
      <c r="E131" s="2370" t="s">
        <v>276</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277</v>
      </c>
      <c r="AD131" s="1494" t="s">
        <v>278</v>
      </c>
      <c r="AE131" s="1494" t="s">
        <v>279</v>
      </c>
      <c r="AF131" s="1494" t="s">
        <v>280</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65"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65"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65"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65"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686D8-AC58-D3D8-9748-F9790FC8F5A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299" width="9.140625" hidden="1"/>
    <col min="3" max="4" style="11299" width="3.00390625" customWidth="1"/>
    <col min="5" max="6" style="11299" width="15.00390625" customWidth="1"/>
    <col min="7" max="7" style="11299" width="11.57421875" customWidth="1"/>
    <col min="8" max="9" style="11299" width="3.00390625" customWidth="1"/>
    <col min="10" max="10" style="11299" width="12.00390625" customWidth="1"/>
    <col min="11" max="11" style="11299" width="0.28125" customWidth="1"/>
    <col min="12" max="13" style="11299" width="10.00390625" customWidth="1"/>
    <col min="14" max="15" style="11299" width="3.00390625" customWidth="1"/>
    <col min="16" max="16" style="11299" width="19.00390625" customWidth="1"/>
    <col min="17" max="17" style="11299" width="0.28125" customWidth="1"/>
    <col min="18" max="19" style="11299" width="10.00390625" customWidth="1"/>
    <col min="20" max="21" style="11299" width="3.00390625" customWidth="1"/>
    <col min="22" max="22" style="11299" width="25.00390625" customWidth="1"/>
    <col min="23" max="23" style="11299" width="0.28125" customWidth="1"/>
    <col min="24" max="25" style="11299" width="10.00390625" customWidth="1"/>
    <col min="26" max="27" style="11299" width="3.00390625" customWidth="1"/>
    <col min="28" max="28" style="11299" width="16.00390625" customWidth="1"/>
    <col min="29" max="29" style="11299" width="0.28125" customWidth="1"/>
    <col min="30" max="31" style="11299" width="10.00390625" customWidth="1"/>
    <col min="32" max="33" style="11299" width="3.00390625" customWidth="1"/>
    <col min="34" max="34" style="11299" width="8.00390625" customWidth="1"/>
    <col min="35" max="35" style="11299" width="21.00390625" customWidth="1"/>
    <col min="36" max="36" style="11299" width="8.00390625" customWidth="1"/>
    <col min="37" max="37" style="11675" width="8.00390625" customWidth="1"/>
    <col min="38" max="64" style="11299" width="8.00390625" customWidth="1"/>
    <col min="65" max="65" style="11299" width="9.140625" hidden="1"/>
  </cols>
  <sheetData>
    <row s="11599"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00" customFormat="1" customHeight="1" ht="11.25" hidden="1">
      <c r="L2" s="1780" t="s">
        <v>281</v>
      </c>
      <c r="M2" s="1780" t="s">
        <v>282</v>
      </c>
      <c r="R2" s="1780" t="s">
        <v>283</v>
      </c>
      <c r="S2" s="1780" t="s">
        <v>282</v>
      </c>
      <c r="X2" s="1780" t="s">
        <v>281</v>
      </c>
      <c r="Y2" s="1780" t="s">
        <v>282</v>
      </c>
      <c r="AD2" s="1780" t="s">
        <v>281</v>
      </c>
      <c r="AE2" s="1780" t="s">
        <v>282</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603"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54" customFormat="1" customHeight="1" ht="34.5">
      <c r="A4" s="1383"/>
      <c r="B4" s="1382"/>
      <c r="C4" s="1742"/>
      <c r="D4" s="2418" t="s">
        <v>284</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54" customFormat="1" customHeight="1" ht="14.699999999999998">
      <c r="A5" s="1859"/>
      <c r="B5" s="1858"/>
      <c r="C5" s="1742"/>
      <c r="D5" s="2403" t="str">
        <f>IF(org=0,"Не определено",org)</f>
        <v>ООО "Рыбинская генерация"</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54"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599"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104</v>
      </c>
      <c r="F8" s="2419" t="s">
        <v>121</v>
      </c>
      <c r="G8" s="2420"/>
      <c r="H8" s="2419" t="s">
        <v>87</v>
      </c>
      <c r="I8" s="2420"/>
      <c r="J8" s="2354" t="s">
        <v>122</v>
      </c>
      <c r="K8" s="1783"/>
      <c r="L8" s="2423" t="s">
        <v>285</v>
      </c>
      <c r="M8" s="2423"/>
      <c r="N8" s="2423"/>
      <c r="O8" s="2423"/>
      <c r="P8" s="2423"/>
      <c r="Q8" s="1784"/>
      <c r="R8" s="2323" t="s">
        <v>286</v>
      </c>
      <c r="S8" s="2424"/>
      <c r="T8" s="2424"/>
      <c r="U8" s="2424"/>
      <c r="V8" s="2424"/>
      <c r="W8" s="1784"/>
      <c r="X8" s="2425" t="s">
        <v>287</v>
      </c>
      <c r="Y8" s="2425"/>
      <c r="Z8" s="2425"/>
      <c r="AA8" s="2425"/>
      <c r="AB8" s="2425"/>
      <c r="AC8" s="1785"/>
      <c r="AD8" s="2354" t="s">
        <v>288</v>
      </c>
      <c r="AE8" s="2354"/>
      <c r="AF8" s="2354"/>
      <c r="AG8" s="2354"/>
      <c r="AH8" s="2328"/>
      <c r="AI8" s="2354" t="s">
        <v>289</v>
      </c>
      <c r="AJ8" s="1801"/>
      <c r="BM8" s="520">
        <v>32</v>
      </c>
    </row>
    <row customHeight="1" ht="23.25">
      <c r="D9" s="2354"/>
      <c r="E9" s="2354"/>
      <c r="F9" s="2402" t="s">
        <v>88</v>
      </c>
      <c r="G9" s="2402" t="s">
        <v>127</v>
      </c>
      <c r="H9" s="2421"/>
      <c r="I9" s="2422"/>
      <c r="J9" s="2328"/>
      <c r="K9" s="1786"/>
      <c r="L9" s="2354" t="s">
        <v>290</v>
      </c>
      <c r="M9" s="2328"/>
      <c r="N9" s="2419" t="s">
        <v>87</v>
      </c>
      <c r="O9" s="2420"/>
      <c r="P9" s="2354" t="s">
        <v>128</v>
      </c>
      <c r="Q9" s="1783"/>
      <c r="R9" s="2354" t="s">
        <v>290</v>
      </c>
      <c r="S9" s="2328"/>
      <c r="T9" s="2419" t="s">
        <v>87</v>
      </c>
      <c r="U9" s="2420"/>
      <c r="V9" s="2354" t="s">
        <v>128</v>
      </c>
      <c r="W9" s="1783"/>
      <c r="X9" s="2354" t="s">
        <v>290</v>
      </c>
      <c r="Y9" s="2328"/>
      <c r="Z9" s="2419" t="s">
        <v>87</v>
      </c>
      <c r="AA9" s="2420"/>
      <c r="AB9" s="2354" t="s">
        <v>291</v>
      </c>
      <c r="AC9" s="1783"/>
      <c r="AD9" s="2354" t="s">
        <v>290</v>
      </c>
      <c r="AE9" s="2328"/>
      <c r="AF9" s="2419" t="s">
        <v>87</v>
      </c>
      <c r="AG9" s="2420"/>
      <c r="AH9" s="2328" t="s">
        <v>291</v>
      </c>
      <c r="AI9" s="2354"/>
      <c r="AJ9" s="1801"/>
      <c r="BM9" s="520">
        <v>22</v>
      </c>
    </row>
    <row customHeight="1" ht="24">
      <c r="D10" s="2402"/>
      <c r="E10" s="2402"/>
      <c r="F10" s="2426"/>
      <c r="G10" s="2426"/>
      <c r="H10" s="2427"/>
      <c r="I10" s="2428"/>
      <c r="J10" s="2419"/>
      <c r="K10" s="1786"/>
      <c r="L10" s="1805" t="s">
        <v>292</v>
      </c>
      <c r="M10" s="1800" t="s">
        <v>293</v>
      </c>
      <c r="N10" s="2421"/>
      <c r="O10" s="2422"/>
      <c r="P10" s="2402"/>
      <c r="Q10" s="1783"/>
      <c r="R10" s="1805" t="s">
        <v>292</v>
      </c>
      <c r="S10" s="1800" t="s">
        <v>293</v>
      </c>
      <c r="T10" s="2421"/>
      <c r="U10" s="2422"/>
      <c r="V10" s="2402"/>
      <c r="W10" s="1783"/>
      <c r="X10" s="1805" t="s">
        <v>292</v>
      </c>
      <c r="Y10" s="1800" t="s">
        <v>293</v>
      </c>
      <c r="Z10" s="2421"/>
      <c r="AA10" s="2422"/>
      <c r="AB10" s="2402"/>
      <c r="AC10" s="1783"/>
      <c r="AD10" s="1805" t="s">
        <v>292</v>
      </c>
      <c r="AE10" s="1800" t="s">
        <v>293</v>
      </c>
      <c r="AF10" s="2421"/>
      <c r="AG10" s="2422"/>
      <c r="AH10" s="2419"/>
      <c r="AI10" s="2402"/>
      <c r="AJ10" s="1801"/>
      <c r="AK10" s="481" t="s">
        <v>294</v>
      </c>
      <c r="AL10" s="481" t="s">
        <v>129</v>
      </c>
      <c r="BM10" s="520">
        <v>23</v>
      </c>
    </row>
    <row customHeight="1" ht="15">
      <c r="D11" s="2410" t="s">
        <v>108</v>
      </c>
      <c r="E11" s="2406" t="s">
        <v>295</v>
      </c>
      <c r="F11" s="2406" t="s">
        <v>296</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603"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295</v>
      </c>
      <c r="F17" s="2406" t="s">
        <v>297</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603"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295</v>
      </c>
      <c r="F23" s="2406" t="s">
        <v>298</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603"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295</v>
      </c>
      <c r="F29" s="2406" t="s">
        <v>299</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603"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295</v>
      </c>
      <c r="F35" s="2406" t="s">
        <v>300</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603"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CF324-3E78-AEA9-89AC-8E5CDB0010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762" width="15.00390625" hidden="1" customWidth="1"/>
    <col min="2" max="2" style="11719" width="15.00390625" hidden="1" customWidth="1"/>
    <col min="3" max="3" style="11763" width="3.00390625" customWidth="1"/>
    <col min="4" max="4" style="11764" width="6.00390625" customWidth="1"/>
    <col min="5" max="5" style="11763" width="52.00390625" customWidth="1"/>
    <col min="6" max="6" style="11763" width="48.00390625" customWidth="1"/>
    <col min="7" max="7" style="11763" width="121.00390625" customWidth="1"/>
    <col min="8" max="8" style="11763" width="8.00390625" customWidth="1"/>
    <col min="9" max="9" style="11763" width="64.00390625" customWidth="1"/>
    <col min="10" max="10" style="11763" width="9.140625" hidden="1"/>
  </cols>
  <sheetData>
    <row customHeight="1" ht="11.25" hidden="1">
      <c r="A1" s="1913" t="s">
        <v>301</v>
      </c>
      <c r="J1" s="682" t="s">
        <v>14</v>
      </c>
    </row>
    <row customHeight="1" ht="11.25" hidden="1">
      <c r="J2" s="682">
        <v>0</v>
      </c>
    </row>
    <row s="11678"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ООО "Рыбинская генерация"</v>
      </c>
      <c r="E5" s="2403"/>
      <c r="F5" s="2403"/>
      <c r="I5" s="942"/>
      <c r="J5" s="682">
        <v>17</v>
      </c>
    </row>
    <row s="11678"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302</v>
      </c>
      <c r="E8" s="2432"/>
      <c r="F8" s="2432"/>
      <c r="G8" s="2435" t="s">
        <v>303</v>
      </c>
      <c r="J8" s="682">
        <v>11</v>
      </c>
    </row>
    <row customHeight="1" ht="11.549999999999999">
      <c r="A9" s="684"/>
      <c r="B9" s="729"/>
      <c r="C9" s="684"/>
      <c r="D9" s="699" t="s">
        <v>87</v>
      </c>
      <c r="E9" s="673" t="s">
        <v>304</v>
      </c>
      <c r="F9" s="673" t="s">
        <v>305</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306</v>
      </c>
      <c r="F11" s="1238" t="str">
        <f>IF(region_name="","",region_name)</f>
        <v>Ярославская область</v>
      </c>
      <c r="G11" s="1239" t="s">
        <v>307</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308</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309</v>
      </c>
      <c r="E14" s="1237" t="s">
        <v>310</v>
      </c>
      <c r="F14" s="1238" t="str">
        <f>IF(inn="","",inn)</f>
        <v>4401158338</v>
      </c>
      <c r="G14" s="1239" t="s">
        <v>311</v>
      </c>
      <c r="H14" s="702"/>
      <c r="J14" s="682">
        <v>0</v>
      </c>
    </row>
    <row customHeight="1" ht="22.5" hidden="1">
      <c r="A15" s="684"/>
      <c r="B15" s="729"/>
      <c r="C15" s="684"/>
      <c r="D15" s="1236" t="s">
        <v>312</v>
      </c>
      <c r="E15" s="1237" t="s">
        <v>313</v>
      </c>
      <c r="F15" s="1238" t="str">
        <f>IF(kpp="","",kpp)</f>
        <v>761001001</v>
      </c>
      <c r="G15" s="1239" t="s">
        <v>314</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315</v>
      </c>
      <c r="B19" s="729"/>
      <c r="C19" s="2440"/>
      <c r="D19" s="672" t="str">
        <f>A19</f>
        <v>5.1</v>
      </c>
      <c r="E19" s="669" t="s">
        <v>316</v>
      </c>
      <c r="F19" s="670" t="s">
        <v>308</v>
      </c>
      <c r="G19" s="671" t="s">
        <v>317</v>
      </c>
      <c r="H19" s="702"/>
      <c r="I19" s="1079"/>
      <c r="J19" s="682">
        <v>0</v>
      </c>
    </row>
    <row customHeight="1" ht="24" hidden="1">
      <c r="A20" s="2429"/>
      <c r="B20" s="729"/>
      <c r="C20" s="2440"/>
      <c r="D20" s="667" t="str">
        <f>D19&amp;".1"</f>
        <v>5.1.1</v>
      </c>
      <c r="E20" s="666" t="s">
        <v>318</v>
      </c>
      <c r="F20" s="1108" t="s">
        <v>28</v>
      </c>
      <c r="G20" s="701"/>
      <c r="H20" s="702"/>
      <c r="I20" s="1079"/>
      <c r="J20" s="682">
        <v>0</v>
      </c>
    </row>
    <row customHeight="1" ht="22.5" hidden="1">
      <c r="A21" s="2429"/>
      <c r="B21" s="729"/>
      <c r="C21" s="2440"/>
      <c r="D21" s="667" t="str">
        <f>D19&amp;".2"</f>
        <v>5.1.2</v>
      </c>
      <c r="E21" s="666" t="s">
        <v>319</v>
      </c>
      <c r="F21" s="1960" t="s">
        <v>28</v>
      </c>
      <c r="G21" s="671" t="s">
        <v>320</v>
      </c>
      <c r="H21" s="702"/>
      <c r="I21" s="1079"/>
      <c r="J21" s="682">
        <v>0</v>
      </c>
    </row>
    <row customHeight="1" ht="22.5" hidden="1">
      <c r="A22" s="2429"/>
      <c r="B22" s="729"/>
      <c r="C22" s="2440"/>
      <c r="D22" s="667" t="str">
        <f>D19&amp;".3"</f>
        <v>5.1.3</v>
      </c>
      <c r="E22" s="666" t="s">
        <v>321</v>
      </c>
      <c r="F22" s="1108" t="s">
        <v>28</v>
      </c>
      <c r="G22" s="701"/>
      <c r="H22" s="702"/>
      <c r="I22" s="1079"/>
      <c r="J22" s="682">
        <v>0</v>
      </c>
    </row>
    <row customHeight="1" ht="22.5" hidden="1">
      <c r="A23" s="2429"/>
      <c r="B23" s="729"/>
      <c r="C23" s="2440"/>
      <c r="D23" s="667" t="str">
        <f>D19&amp;".4"</f>
        <v>5.1.4</v>
      </c>
      <c r="E23" s="666" t="s">
        <v>322</v>
      </c>
      <c r="F23" s="1108" t="s">
        <v>28</v>
      </c>
      <c r="G23" s="671" t="s">
        <v>323</v>
      </c>
      <c r="H23" s="702"/>
      <c r="I23" s="1079"/>
      <c r="J23" s="682">
        <v>0</v>
      </c>
    </row>
    <row customHeight="1" ht="22.5" hidden="1">
      <c r="A24" s="2205"/>
      <c r="B24" s="729"/>
      <c r="C24" s="719"/>
      <c r="D24" s="694"/>
      <c r="E24" s="1395" t="s">
        <v>324</v>
      </c>
      <c r="F24" s="695"/>
      <c r="G24" s="696"/>
      <c r="H24" s="702"/>
      <c r="I24" s="1079"/>
      <c r="J24" s="682">
        <v>0</v>
      </c>
    </row>
    <row s="11719" customFormat="1" customHeight="1" ht="24.75" hidden="1">
      <c r="A25" s="684"/>
      <c r="B25" s="729"/>
      <c r="C25" s="729"/>
      <c r="D25" s="1233" t="s">
        <v>89</v>
      </c>
      <c r="E25" s="1235" t="s">
        <v>325</v>
      </c>
      <c r="F25" s="1240" t="s">
        <v>308</v>
      </c>
      <c r="G25" s="1235"/>
      <c r="J25" s="728">
        <v>0</v>
      </c>
    </row>
    <row s="11719" customFormat="1" customHeight="1" ht="11.25" hidden="1">
      <c r="A26" s="684"/>
      <c r="B26" s="729"/>
      <c r="C26" s="729"/>
      <c r="D26" s="1233" t="s">
        <v>326</v>
      </c>
      <c r="E26" s="1234" t="s">
        <v>327</v>
      </c>
      <c r="F26" s="1240" t="s">
        <v>308</v>
      </c>
      <c r="G26" s="1235"/>
      <c r="J26" s="728">
        <v>0</v>
      </c>
    </row>
    <row s="11719" customFormat="1" customHeight="1" ht="11.25" hidden="1">
      <c r="A27" s="684"/>
      <c r="B27" s="729"/>
      <c r="C27" s="729"/>
      <c r="D27" s="1233" t="s">
        <v>328</v>
      </c>
      <c r="E27" s="1241" t="s">
        <v>329</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719" customFormat="1" customHeight="1" ht="11.25" hidden="1">
      <c r="A28" s="684"/>
      <c r="B28" s="729"/>
      <c r="C28" s="729"/>
      <c r="D28" s="1233" t="s">
        <v>330</v>
      </c>
      <c r="E28" s="1241" t="s">
        <v>331</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719" customFormat="1" customHeight="1" ht="11.25" hidden="1">
      <c r="A29" s="684"/>
      <c r="B29" s="729"/>
      <c r="C29" s="729"/>
      <c r="D29" s="1233" t="s">
        <v>332</v>
      </c>
      <c r="E29" s="1241" t="s">
        <v>333</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719" customFormat="1" customHeight="1" ht="11.25" hidden="1">
      <c r="A30" s="684"/>
      <c r="B30" s="729"/>
      <c r="C30" s="729"/>
      <c r="D30" s="1233" t="s">
        <v>334</v>
      </c>
      <c r="E30" s="1234" t="s">
        <v>335</v>
      </c>
      <c r="F30" s="1242"/>
      <c r="G30" s="1235"/>
      <c r="J30" s="728">
        <v>0</v>
      </c>
    </row>
    <row s="11719" customFormat="1" customHeight="1" ht="11.25" hidden="1">
      <c r="A31" s="684"/>
      <c r="B31" s="729"/>
      <c r="C31" s="729"/>
      <c r="D31" s="1233" t="s">
        <v>336</v>
      </c>
      <c r="E31" s="1234" t="s">
        <v>337</v>
      </c>
      <c r="F31" s="1242"/>
      <c r="G31" s="1235"/>
      <c r="J31" s="728">
        <v>0</v>
      </c>
    </row>
    <row s="11719" customFormat="1" customHeight="1" ht="11.25" hidden="1">
      <c r="A32" s="684"/>
      <c r="B32" s="729"/>
      <c r="C32" s="729"/>
      <c r="D32" s="1233" t="s">
        <v>338</v>
      </c>
      <c r="E32" s="1234" t="s">
        <v>339</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308</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340</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340</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308</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341</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342</v>
      </c>
      <c r="H44" s="702"/>
      <c r="J44" s="682">
        <v>22</v>
      </c>
    </row>
    <row customHeight="1" ht="23.25">
      <c r="A45" s="684"/>
      <c r="B45" s="729"/>
      <c r="C45" s="684"/>
      <c r="D45" s="667">
        <f>D44+1</f>
        <v>11</v>
      </c>
      <c r="E45" s="665" t="s">
        <v>343</v>
      </c>
      <c r="F45" s="670" t="s">
        <v>308</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344</v>
      </c>
      <c r="H46" s="702"/>
      <c r="J46" s="682">
        <v>23</v>
      </c>
    </row>
    <row customHeight="1" ht="24">
      <c r="A47" s="2429"/>
      <c r="B47" s="729"/>
      <c r="C47" s="719"/>
      <c r="D47" s="667" t="str">
        <f>D45&amp;".2"</f>
        <v>11.2</v>
      </c>
      <c r="E47" s="669" t="s">
        <v>345</v>
      </c>
      <c r="F47" s="717"/>
      <c r="G47" s="664" t="s">
        <v>346</v>
      </c>
      <c r="H47" s="702"/>
      <c r="J47" s="682">
        <v>23</v>
      </c>
    </row>
    <row customHeight="1" ht="24">
      <c r="A48" s="2429"/>
      <c r="B48" s="729"/>
      <c r="C48" s="719"/>
      <c r="D48" s="667" t="str">
        <f>D45&amp;".3"</f>
        <v>11.3</v>
      </c>
      <c r="E48" s="669" t="s">
        <v>347</v>
      </c>
      <c r="F48" s="717"/>
      <c r="G48" s="664" t="s">
        <v>348</v>
      </c>
      <c r="H48" s="702"/>
      <c r="J48" s="682">
        <v>23</v>
      </c>
    </row>
    <row customHeight="1" ht="24">
      <c r="A49" s="2429"/>
      <c r="B49" s="729"/>
      <c r="C49" s="719"/>
      <c r="D49" s="667" t="str">
        <f>IF(TEMPLATE_SPHERE="TKO",D45&amp;".0",D45&amp;".4")</f>
        <v>11.4</v>
      </c>
      <c r="E49" s="663" t="s">
        <v>349</v>
      </c>
      <c r="F49" s="1912"/>
      <c r="G49" s="1989" t="s">
        <v>350</v>
      </c>
      <c r="H49" s="702"/>
      <c r="J49" s="682">
        <v>23</v>
      </c>
    </row>
    <row customHeight="1" ht="24">
      <c r="A50" s="684"/>
      <c r="B50" s="729"/>
      <c r="C50" s="684"/>
      <c r="D50" s="694"/>
      <c r="E50" s="642" t="s">
        <v>351</v>
      </c>
      <c r="F50" s="695"/>
      <c r="G50" s="1989" t="s">
        <v>352</v>
      </c>
      <c r="H50" s="703"/>
      <c r="J50" s="682">
        <v>23</v>
      </c>
    </row>
    <row customHeight="1" ht="24">
      <c r="A51" s="1085"/>
      <c r="B51" s="729"/>
      <c r="C51" s="719"/>
      <c r="D51" s="667">
        <f>D45+1</f>
        <v>12</v>
      </c>
      <c r="E51" s="755" t="s">
        <v>353</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74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748"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F54F8-CEE4-F628-BB58-CE78217DF71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24" width="9.140625" hidden="1" customWidth="1"/>
    <col min="2" max="2" style="11160" width="9.140625" hidden="1" customWidth="1"/>
    <col min="3" max="3" style="11327" width="3.00390625" customWidth="1"/>
    <col min="4" max="4" style="11160" width="5.00390625" customWidth="1"/>
    <col min="5" max="5" style="11160" width="48.00390625" customWidth="1"/>
    <col min="6" max="6" style="11160" width="38.00390625" customWidth="1"/>
    <col min="7" max="7" style="11160" width="1.7109375" hidden="1" customWidth="1"/>
    <col min="8" max="11" style="11160" width="19.8515625" hidden="1" customWidth="1"/>
    <col min="12" max="12" style="11160" width="9.7109375" hidden="1" customWidth="1"/>
    <col min="13" max="18" style="11160" width="19.8515625" hidden="1" customWidth="1"/>
    <col min="19" max="19" style="11160" width="1.7109375" hidden="1" customWidth="1"/>
    <col min="20" max="22" style="11160" width="19.8515625" hidden="1" customWidth="1"/>
    <col min="23" max="23" style="11160" width="1.7109375" hidden="1" customWidth="1"/>
    <col min="24" max="26" style="11160" width="19.8515625" hidden="1" customWidth="1"/>
    <col min="27" max="27" style="11160" width="1.7109375" hidden="1" customWidth="1"/>
    <col min="28" max="29" style="11160" width="19.8515625" customWidth="1"/>
    <col min="30" max="30" style="11160" width="1.7109375" hidden="1" customWidth="1"/>
    <col min="31" max="33" style="11160" width="103.7109375" hidden="1" customWidth="1"/>
    <col min="34" max="34" style="11160" width="103.7109375" customWidth="1"/>
    <col min="35" max="35" style="11254" width="3.00390625" customWidth="1"/>
    <col min="36" max="38" style="11239" width="10.00390625" customWidth="1"/>
    <col min="39" max="39" style="11239" width="13.7109375" hidden="1" customWidth="1"/>
    <col min="40" max="40" style="11239" width="15.00390625" customWidth="1"/>
    <col min="41" max="41" style="11239" width="16.00390625" customWidth="1"/>
    <col min="42" max="45" style="11239" width="10.00390625" customWidth="1"/>
    <col min="46" max="46" style="11160" width="10.57421875" hidden="1"/>
  </cols>
  <sheetData>
    <row customHeight="1" ht="22.5" hidden="1">
      <c r="E1" s="639"/>
      <c r="F1" s="639"/>
      <c r="G1" s="639"/>
      <c r="H1" s="2444" t="s">
        <v>354</v>
      </c>
      <c r="I1" s="2444"/>
      <c r="J1" s="2444"/>
      <c r="K1" s="2444"/>
      <c r="L1" s="2444"/>
      <c r="M1" s="2444"/>
      <c r="N1" s="2444"/>
      <c r="O1" s="2444"/>
      <c r="P1" s="2444"/>
      <c r="Q1" s="2444"/>
      <c r="R1" s="2444"/>
      <c r="T1" s="2444" t="s">
        <v>355</v>
      </c>
      <c r="U1" s="2444"/>
      <c r="V1" s="2444"/>
      <c r="X1" s="2444" t="s">
        <v>356</v>
      </c>
      <c r="Y1" s="2444"/>
      <c r="Z1" s="2444"/>
      <c r="AB1" s="2444" t="s">
        <v>357</v>
      </c>
      <c r="AC1" s="2444"/>
      <c r="AT1" s="674" t="s">
        <v>14</v>
      </c>
    </row>
    <row customHeight="1" ht="14.25" hidden="1">
      <c r="AT2" s="674">
        <v>0</v>
      </c>
    </row>
    <row s="11767" customFormat="1" customHeight="1" ht="5.25">
      <c r="C3" s="928"/>
      <c r="D3" s="929"/>
      <c r="E3" s="929"/>
      <c r="F3" s="929"/>
      <c r="G3" s="929"/>
      <c r="H3" s="929" t="s">
        <v>358</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160" customFormat="1" customHeight="1" ht="18">
      <c r="A5" s="986"/>
      <c r="C5" s="1049"/>
      <c r="D5" s="2441" t="str">
        <f>IF(org=0,"Не определено",org)</f>
        <v>ООО "Рыбинская генерация"</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3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302</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303</v>
      </c>
      <c r="AF7" s="2450" t="s">
        <v>303</v>
      </c>
      <c r="AG7" s="2450" t="s">
        <v>303</v>
      </c>
      <c r="AH7" s="2450" t="s">
        <v>303</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359</v>
      </c>
      <c r="I8" s="2453" t="s">
        <v>360</v>
      </c>
      <c r="J8" s="2450" t="s">
        <v>361</v>
      </c>
      <c r="K8" s="2450"/>
      <c r="L8" s="2450"/>
      <c r="M8" s="2445"/>
      <c r="N8" s="2450" t="s">
        <v>362</v>
      </c>
      <c r="O8" s="2450"/>
      <c r="P8" s="2450" t="s">
        <v>363</v>
      </c>
      <c r="Q8" s="2450"/>
      <c r="R8" s="2457" t="s">
        <v>364</v>
      </c>
      <c r="S8" s="1051"/>
      <c r="T8" s="2455" t="s">
        <v>365</v>
      </c>
      <c r="U8" s="2455" t="s">
        <v>366</v>
      </c>
      <c r="V8" s="2455" t="s">
        <v>367</v>
      </c>
      <c r="W8" s="1053"/>
      <c r="X8" s="2455" t="s">
        <v>368</v>
      </c>
      <c r="Y8" s="2455" t="s">
        <v>369</v>
      </c>
      <c r="Z8" s="2455" t="s">
        <v>370</v>
      </c>
      <c r="AA8" s="1053"/>
      <c r="AB8" s="2455" t="s">
        <v>371</v>
      </c>
      <c r="AC8" s="2455" t="s">
        <v>364</v>
      </c>
      <c r="AD8" s="1053"/>
      <c r="AE8" s="2450"/>
      <c r="AF8" s="2450"/>
      <c r="AG8" s="2450"/>
      <c r="AH8" s="2450"/>
      <c r="AT8" s="674">
        <v>26</v>
      </c>
    </row>
    <row customHeight="1" ht="46.199999999999996">
      <c r="C9" s="677"/>
      <c r="D9" s="2354"/>
      <c r="E9" s="2450"/>
      <c r="F9" s="2450"/>
      <c r="G9" s="1056"/>
      <c r="H9" s="2452"/>
      <c r="I9" s="2454"/>
      <c r="J9" s="652" t="s">
        <v>372</v>
      </c>
      <c r="K9" s="652" t="s">
        <v>373</v>
      </c>
      <c r="L9" s="652" t="s">
        <v>374</v>
      </c>
      <c r="M9" s="658" t="s">
        <v>375</v>
      </c>
      <c r="N9" s="652" t="s">
        <v>376</v>
      </c>
      <c r="O9" s="652" t="s">
        <v>375</v>
      </c>
      <c r="P9" s="652" t="s">
        <v>377</v>
      </c>
      <c r="Q9" s="652" t="s">
        <v>375</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808" customFormat="1" customHeight="1" ht="11.25" hidden="1">
      <c r="C11" s="725"/>
      <c r="D11" s="726" t="s">
        <v>378</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379</v>
      </c>
      <c r="AF12" s="2448" t="s">
        <v>380</v>
      </c>
      <c r="AG12" s="2448" t="s">
        <v>381</v>
      </c>
      <c r="AH12" s="2448" t="s">
        <v>382</v>
      </c>
      <c r="AI12" s="674"/>
      <c r="AM12" s="738"/>
      <c r="AP12" s="727" t="s">
        <v>383</v>
      </c>
      <c r="AQ12" s="727" t="s">
        <v>383</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CD058-58B1-4D78-5254-B91A1CF020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24" width="9.140625" hidden="1" customWidth="1"/>
    <col min="2" max="2" style="11160" width="9.140625" hidden="1" customWidth="1"/>
    <col min="3" max="3" style="11327" width="3.00390625" customWidth="1"/>
    <col min="4" max="4" style="11160" width="5.00390625" customWidth="1"/>
    <col min="5" max="5" style="11160" width="38.00390625" customWidth="1"/>
    <col min="6" max="7" style="11160" width="3.00390625" customWidth="1"/>
    <col min="8" max="8" style="11160" width="38.00390625" customWidth="1"/>
    <col min="9" max="9" style="11160" width="35.00390625" customWidth="1"/>
    <col min="10" max="10" style="11160" width="103.00390625" customWidth="1"/>
    <col min="11" max="11" style="11254" width="3.00390625" customWidth="1"/>
    <col min="12" max="14" style="11239" width="10.00390625" customWidth="1"/>
    <col min="15" max="15" style="11239" width="13.00390625" customWidth="1"/>
    <col min="16" max="16" style="11239" width="15.00390625" customWidth="1"/>
    <col min="17" max="17" style="11239" width="16.00390625" customWidth="1"/>
    <col min="18" max="21" style="11239" width="10.00390625" customWidth="1"/>
    <col min="22" max="22" style="11160" width="10.57421875" hidden="1"/>
  </cols>
  <sheetData>
    <row customHeight="1" ht="22.5" hidden="1">
      <c r="E1" s="639"/>
      <c r="F1" s="639"/>
      <c r="G1" s="639"/>
      <c r="H1" s="2444" t="s">
        <v>354</v>
      </c>
      <c r="I1" s="2444"/>
      <c r="V1" s="1834" t="s">
        <v>14</v>
      </c>
    </row>
    <row s="11160" customFormat="1" customHeight="1" ht="14.25" hidden="1">
      <c r="C2" s="1846"/>
      <c r="D2" s="2460" t="s">
        <v>108</v>
      </c>
      <c r="E2" s="2462"/>
      <c r="F2" s="1852"/>
      <c r="G2" s="1847" t="s">
        <v>108</v>
      </c>
      <c r="H2" s="1850"/>
      <c r="I2" s="1848"/>
      <c r="L2" s="1849"/>
      <c r="M2" s="1849"/>
      <c r="N2" s="1849"/>
      <c r="O2" s="1849" t="s">
        <v>384</v>
      </c>
      <c r="P2" s="1849"/>
      <c r="Q2" s="1849"/>
      <c r="R2" s="1851" t="s">
        <v>383</v>
      </c>
      <c r="S2" s="1851" t="s">
        <v>383</v>
      </c>
      <c r="T2" s="1849"/>
      <c r="U2" s="1849"/>
      <c r="V2" s="1845">
        <v>0</v>
      </c>
    </row>
    <row s="11160" customFormat="1" customHeight="1" ht="14.25" hidden="1">
      <c r="C3" s="1846"/>
      <c r="D3" s="2461"/>
      <c r="E3" s="2463"/>
      <c r="F3" s="632"/>
      <c r="G3" s="1096"/>
      <c r="H3" s="1096" t="s">
        <v>385</v>
      </c>
      <c r="I3" s="540"/>
      <c r="L3" s="1849"/>
      <c r="M3" s="1849"/>
      <c r="N3" s="1849"/>
      <c r="O3" s="1849"/>
      <c r="P3" s="1849"/>
      <c r="Q3" s="1849"/>
      <c r="R3" s="1851"/>
      <c r="S3" s="1851"/>
      <c r="T3" s="1849"/>
      <c r="U3" s="1849"/>
      <c r="V3" s="1845">
        <v>0</v>
      </c>
    </row>
    <row customHeight="1" ht="14.25" hidden="1">
      <c r="V4" s="1834">
        <v>0</v>
      </c>
    </row>
    <row s="11767" customFormat="1" customHeight="1" ht="5.25">
      <c r="C5" s="928"/>
      <c r="D5" s="929"/>
      <c r="E5" s="929"/>
      <c r="F5" s="929"/>
      <c r="G5" s="929"/>
      <c r="H5" s="929" t="s">
        <v>358</v>
      </c>
      <c r="I5" s="929"/>
      <c r="J5" s="929"/>
      <c r="L5" s="1841"/>
      <c r="M5" s="1841"/>
      <c r="N5" s="1841"/>
      <c r="O5" s="1841"/>
      <c r="P5" s="1841"/>
      <c r="Q5" s="1841"/>
      <c r="R5" s="1841"/>
      <c r="S5" s="1841"/>
      <c r="T5" s="1841"/>
      <c r="U5" s="1841"/>
      <c r="V5" s="1840">
        <v>5</v>
      </c>
    </row>
    <row customHeight="1" ht="29.25">
      <c r="C6" s="1743"/>
      <c r="D6" s="2464" t="s">
        <v>386</v>
      </c>
      <c r="E6" s="2464"/>
      <c r="F6" s="2464"/>
      <c r="G6" s="2464"/>
      <c r="H6" s="2464"/>
      <c r="I6" s="2464"/>
      <c r="J6" s="718"/>
      <c r="K6" s="1842"/>
      <c r="V6" s="1834">
        <v>28</v>
      </c>
    </row>
    <row customHeight="1" ht="18">
      <c r="C7" s="1743"/>
      <c r="D7" s="2403" t="str">
        <f>IF(org=0,"Не определено",org)</f>
        <v>ООО "Рыбинская генерация"</v>
      </c>
      <c r="E7" s="2403"/>
      <c r="F7" s="2403"/>
      <c r="G7" s="2403"/>
      <c r="H7" s="2403"/>
      <c r="I7" s="2403"/>
      <c r="J7" s="718"/>
      <c r="K7" s="1842"/>
      <c r="V7" s="1834">
        <v>17</v>
      </c>
    </row>
    <row s="1113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3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302</v>
      </c>
      <c r="E10" s="2446"/>
      <c r="F10" s="2446"/>
      <c r="G10" s="2446"/>
      <c r="H10" s="2446"/>
      <c r="I10" s="2446"/>
      <c r="J10" s="2450" t="s">
        <v>303</v>
      </c>
      <c r="V10" s="1834">
        <v>14</v>
      </c>
    </row>
    <row customHeight="1" ht="27.299999999999997">
      <c r="C11" s="1743"/>
      <c r="D11" s="2354" t="s">
        <v>87</v>
      </c>
      <c r="E11" s="2450" t="s">
        <v>104</v>
      </c>
      <c r="F11" s="2419" t="s">
        <v>87</v>
      </c>
      <c r="G11" s="2420"/>
      <c r="H11" s="2402" t="s">
        <v>387</v>
      </c>
      <c r="I11" s="2402" t="s">
        <v>388</v>
      </c>
      <c r="J11" s="2450"/>
      <c r="V11" s="1834">
        <v>26</v>
      </c>
    </row>
    <row customHeight="1" ht="14.699999999999998">
      <c r="C12" s="1743"/>
      <c r="D12" s="2354"/>
      <c r="E12" s="2450"/>
      <c r="F12" s="2427"/>
      <c r="G12" s="2428"/>
      <c r="H12" s="2459"/>
      <c r="I12" s="2459"/>
      <c r="J12" s="2450"/>
      <c r="V12" s="1834">
        <v>14</v>
      </c>
    </row>
    <row s="11808" customFormat="1" customHeight="1" ht="11.25" hidden="1">
      <c r="C13" s="725"/>
      <c r="D13" s="726" t="s">
        <v>378</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389</v>
      </c>
      <c r="K14" s="1834"/>
      <c r="R14" s="727" t="s">
        <v>383</v>
      </c>
      <c r="S14" s="727" t="s">
        <v>383</v>
      </c>
      <c r="V14" s="1834">
        <v>14</v>
      </c>
    </row>
    <row customHeight="1" ht="14.699999999999998">
      <c r="A15" s="1834"/>
      <c r="C15" s="1743"/>
      <c r="D15" s="2461"/>
      <c r="E15" s="2463"/>
      <c r="F15" s="632"/>
      <c r="G15" s="1096"/>
      <c r="H15" s="1096" t="s">
        <v>385</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8A4A8-DC59-8C7B-D548-C9658499293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24" width="9.140625" hidden="1" customWidth="1"/>
    <col min="2" max="3" style="11160" width="9.140625" hidden="1" customWidth="1"/>
    <col min="4" max="4" style="11327" width="3.00390625" customWidth="1"/>
    <col min="5" max="5" style="11160" width="6.00390625" customWidth="1"/>
    <col min="6" max="6" style="11160" width="1.7109375" hidden="1" customWidth="1"/>
    <col min="7" max="8" style="11160" width="30.00390625" customWidth="1"/>
    <col min="9" max="9" style="11160" width="8.00390625" customWidth="1"/>
    <col min="10" max="10" style="11160" width="12.140625" customWidth="1"/>
    <col min="11" max="11" style="11160" width="46.00390625" customWidth="1"/>
    <col min="12" max="12" style="11160" width="100.00390625" customWidth="1"/>
    <col min="13" max="13" style="11254" width="7.00390625" customWidth="1"/>
    <col min="14" max="22" style="11160" width="10.00390625" customWidth="1"/>
    <col min="23" max="23" style="11160" width="10.57421875" hidden="1"/>
  </cols>
  <sheetData>
    <row s="11239" customFormat="1" customHeight="1" ht="5.25" hidden="1">
      <c r="C1" s="738"/>
      <c r="D1" s="721"/>
      <c r="F1" s="738"/>
      <c r="G1" s="716" t="s">
        <v>82</v>
      </c>
      <c r="H1" s="716" t="s">
        <v>83</v>
      </c>
      <c r="I1" s="716" t="s">
        <v>84</v>
      </c>
      <c r="P1" s="716" t="s">
        <v>82</v>
      </c>
      <c r="Q1" s="716" t="s">
        <v>83</v>
      </c>
      <c r="R1" s="716" t="s">
        <v>84</v>
      </c>
      <c r="W1" s="716" t="s">
        <v>14</v>
      </c>
    </row>
    <row s="11239" customFormat="1" customHeight="1" ht="5.25" hidden="1">
      <c r="C2" s="738"/>
      <c r="D2" s="721"/>
      <c r="F2" s="738"/>
      <c r="W2" s="716">
        <v>0</v>
      </c>
    </row>
    <row s="11135" customFormat="1" customHeight="1" ht="5.25">
      <c r="A3" s="706"/>
      <c r="D3" s="713"/>
      <c r="E3" s="708"/>
      <c r="F3" s="708"/>
      <c r="G3" s="708"/>
      <c r="H3" s="708"/>
      <c r="I3" s="709"/>
      <c r="J3" s="710"/>
      <c r="K3" s="710"/>
      <c r="L3" s="710"/>
      <c r="W3" s="707">
        <v>5</v>
      </c>
    </row>
    <row customHeight="1" ht="23.25">
      <c r="D4" s="677"/>
      <c r="E4" s="2465" t="s">
        <v>390</v>
      </c>
      <c r="F4" s="2465"/>
      <c r="G4" s="2466"/>
      <c r="H4" s="2466"/>
      <c r="I4" s="2467"/>
      <c r="J4" s="718"/>
      <c r="K4" s="680"/>
      <c r="L4" s="680"/>
      <c r="W4" s="674">
        <v>22</v>
      </c>
    </row>
    <row s="11160" customFormat="1" customHeight="1" ht="18">
      <c r="A5" s="986"/>
      <c r="D5" s="1049"/>
      <c r="E5" s="2441" t="str">
        <f>IF(org=0,"Не определено",org)</f>
        <v>ООО "Рыбинская генерация"</v>
      </c>
      <c r="F5" s="2441"/>
      <c r="G5" s="2442"/>
      <c r="H5" s="2442"/>
      <c r="I5" s="2443"/>
      <c r="J5" s="718"/>
      <c r="K5" s="680"/>
      <c r="L5" s="680"/>
      <c r="M5" s="734"/>
      <c r="W5" s="985">
        <v>17</v>
      </c>
    </row>
    <row s="11135" customFormat="1" customHeight="1" ht="11.549999999999999">
      <c r="A6" s="706"/>
      <c r="D6" s="713"/>
      <c r="E6" s="708"/>
      <c r="F6" s="708"/>
      <c r="G6" s="711"/>
      <c r="H6" s="711"/>
      <c r="I6" s="712"/>
      <c r="J6" s="712"/>
      <c r="K6" s="979"/>
      <c r="L6" s="712"/>
      <c r="W6" s="707">
        <v>11</v>
      </c>
    </row>
    <row customHeight="1" ht="14.699999999999998">
      <c r="D7" s="677"/>
      <c r="E7" s="2435" t="s">
        <v>302</v>
      </c>
      <c r="F7" s="2435"/>
      <c r="G7" s="2436"/>
      <c r="H7" s="2436"/>
      <c r="I7" s="2436"/>
      <c r="J7" s="2436"/>
      <c r="K7" s="2436"/>
      <c r="L7" s="2450" t="s">
        <v>303</v>
      </c>
      <c r="W7" s="674">
        <v>14</v>
      </c>
    </row>
    <row customHeight="1" ht="48.29999999999999">
      <c r="D8" s="677"/>
      <c r="E8" s="700" t="s">
        <v>87</v>
      </c>
      <c r="F8" s="1050"/>
      <c r="G8" s="692" t="s">
        <v>85</v>
      </c>
      <c r="H8" s="692" t="s">
        <v>86</v>
      </c>
      <c r="I8" s="641" t="s">
        <v>84</v>
      </c>
      <c r="J8" s="641" t="s">
        <v>391</v>
      </c>
      <c r="K8" s="641" t="s">
        <v>392</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393</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35" customFormat="1" customHeight="1" ht="15">
      <c r="A12" s="2326"/>
      <c r="B12" s="731"/>
      <c r="C12" s="731"/>
      <c r="D12" s="1093"/>
      <c r="E12" s="1050">
        <v>1</v>
      </c>
      <c r="F12" s="1091">
        <v>23</v>
      </c>
      <c r="G12" s="1090"/>
      <c r="H12" s="1020"/>
      <c r="I12" s="1018"/>
      <c r="J12" s="747" t="s">
        <v>65</v>
      </c>
      <c r="K12" s="1391" t="s">
        <v>28</v>
      </c>
      <c r="L12" s="2468"/>
      <c r="M12" s="738"/>
      <c r="N12" s="738"/>
      <c r="O12" s="738"/>
      <c r="P12" s="743" t="s">
        <v>394</v>
      </c>
      <c r="Q12" s="743" t="s">
        <v>395</v>
      </c>
      <c r="R12" s="744" t="s">
        <v>396</v>
      </c>
      <c r="S12" s="738" t="s">
        <v>397</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EF48E-05E3-ED78-39BD-D329297959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32"/>
      <c r="R6" s="583"/>
      <c r="S6" s="1536">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36">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3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3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3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238"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38" customFormat="1" customHeight="1" ht="14.25" hidden="1">
      <c r="L21" s="1556"/>
      <c r="M21" s="1589"/>
      <c r="N21" s="1589"/>
      <c r="O21" s="1589"/>
      <c r="P21" s="1589"/>
      <c r="Q21" s="1598"/>
      <c r="R21" s="1598"/>
      <c r="S21" s="956"/>
      <c r="AC21" s="1593"/>
      <c r="AK21" s="1593"/>
      <c r="AN21" s="738"/>
      <c r="AO21" s="738"/>
      <c r="AP21" s="738"/>
      <c r="AQ21" s="738"/>
      <c r="AR21" s="738"/>
      <c r="AS21" s="1387">
        <v>0</v>
      </c>
    </row>
    <row s="11238"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6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1365"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04/4240</v>
      </c>
      <c r="W31" s="2478"/>
      <c r="X31" s="2478"/>
      <c r="Y31" s="2478"/>
      <c r="Z31" s="2478"/>
      <c r="AA31" s="2478"/>
      <c r="AB31" s="2478"/>
      <c r="AC31" s="553"/>
      <c r="AD31" s="2478" t="str">
        <f>IF(TITLE_NUMBER_PR_CHANGE="",IF(TITLE_NUMBER_PR="","",TITLE_NUMBER_PR),TITLE_NUMBER_PR_CHANGE)</f>
        <v>04/4240</v>
      </c>
      <c r="AE31" s="2478"/>
      <c r="AF31" s="2478"/>
      <c r="AG31" s="2478"/>
      <c r="AH31" s="2478"/>
      <c r="AI31" s="2478"/>
      <c r="AJ31" s="2478"/>
      <c r="AK31" s="553"/>
      <c r="AL31" s="553"/>
      <c r="AM31" s="507"/>
      <c r="AN31" s="595"/>
      <c r="AO31" s="595"/>
      <c r="AP31" s="595"/>
      <c r="AQ31" s="595"/>
      <c r="AR31" s="595"/>
      <c r="AS31" s="645">
        <v>0</v>
      </c>
    </row>
    <row s="1136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65"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1365"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04/4240</v>
      </c>
      <c r="W35" s="2478"/>
      <c r="X35" s="2478"/>
      <c r="Y35" s="2478"/>
      <c r="Z35" s="2478"/>
      <c r="AA35" s="2478"/>
      <c r="AB35" s="2478"/>
      <c r="AC35" s="553"/>
      <c r="AD35" s="2478" t="str">
        <f>IF(TITLE_NUMBER_PR_CHANGE="",IF(TITLE_NUMBER_PR="","",TITLE_NUMBER_PR),TITLE_NUMBER_PR_CHANGE)</f>
        <v>04/4240</v>
      </c>
      <c r="AE35" s="2478"/>
      <c r="AF35" s="2478"/>
      <c r="AG35" s="2478"/>
      <c r="AH35" s="2478"/>
      <c r="AI35" s="2478"/>
      <c r="AJ35" s="2478"/>
      <c r="AK35" s="553"/>
      <c r="AL35" s="553"/>
      <c r="AM35" s="507"/>
      <c r="AN35" s="595"/>
      <c r="AO35" s="595"/>
      <c r="AP35" s="595"/>
      <c r="AQ35" s="595"/>
      <c r="AR35" s="595"/>
      <c r="AS35" s="645">
        <v>0</v>
      </c>
    </row>
    <row s="11365"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18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405</v>
      </c>
      <c r="P47" s="2484">
        <v>1</v>
      </c>
      <c r="Q47" s="1447"/>
      <c r="R47" s="583"/>
      <c r="S47" s="1451"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408</v>
      </c>
      <c r="P48" s="2484"/>
      <c r="Q48" s="2484">
        <v>1</v>
      </c>
      <c r="R48" s="584"/>
      <c r="S48" s="1451"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411</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39"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39"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39"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3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9C888-8EF8-C998-1048-939DF7FA6B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1.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3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3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3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38"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38" customFormat="1" customHeight="1" ht="14.25" hidden="1">
      <c r="L21" s="1556"/>
      <c r="M21" s="1589"/>
      <c r="N21" s="1589"/>
      <c r="O21" s="1589"/>
      <c r="P21" s="1589"/>
      <c r="Q21" s="1598"/>
      <c r="R21" s="1598"/>
      <c r="S21" s="956"/>
      <c r="AC21" s="1593"/>
      <c r="AK21" s="1593"/>
      <c r="AN21" s="738"/>
      <c r="AO21" s="738"/>
      <c r="AP21" s="738"/>
      <c r="AQ21" s="738"/>
      <c r="AR21" s="738"/>
      <c r="AS21" s="1387">
        <v>0</v>
      </c>
    </row>
    <row s="11238"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6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1365"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04/4240</v>
      </c>
      <c r="W31" s="2478"/>
      <c r="X31" s="2478"/>
      <c r="Y31" s="2478"/>
      <c r="Z31" s="2478"/>
      <c r="AA31" s="2478"/>
      <c r="AB31" s="2478"/>
      <c r="AC31" s="553"/>
      <c r="AD31" s="2478" t="str">
        <f>IF(TITLE_NUMBER_PR_CHANGE="",IF(TITLE_NUMBER_PR="","",TITLE_NUMBER_PR),TITLE_NUMBER_PR_CHANGE)</f>
        <v>04/4240</v>
      </c>
      <c r="AE31" s="2478"/>
      <c r="AF31" s="2478"/>
      <c r="AG31" s="2478"/>
      <c r="AH31" s="2478"/>
      <c r="AI31" s="2478"/>
      <c r="AJ31" s="2478"/>
      <c r="AK31" s="553"/>
      <c r="AL31" s="553"/>
      <c r="AM31" s="507"/>
      <c r="AN31" s="595"/>
      <c r="AO31" s="595"/>
      <c r="AP31" s="595"/>
      <c r="AQ31" s="595"/>
      <c r="AR31" s="595"/>
      <c r="AS31" s="645">
        <v>0</v>
      </c>
    </row>
    <row s="1136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65"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1365"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04/4240</v>
      </c>
      <c r="W35" s="2478"/>
      <c r="X35" s="2478"/>
      <c r="Y35" s="2478"/>
      <c r="Z35" s="2478"/>
      <c r="AA35" s="2478"/>
      <c r="AB35" s="2478"/>
      <c r="AC35" s="553"/>
      <c r="AD35" s="2478" t="str">
        <f>IF(TITLE_NUMBER_PR_CHANGE="",IF(TITLE_NUMBER_PR="","",TITLE_NUMBER_PR),TITLE_NUMBER_PR_CHANGE)</f>
        <v>04/4240</v>
      </c>
      <c r="AE35" s="2478"/>
      <c r="AF35" s="2478"/>
      <c r="AG35" s="2478"/>
      <c r="AH35" s="2478"/>
      <c r="AI35" s="2478"/>
      <c r="AJ35" s="2478"/>
      <c r="AK35" s="553"/>
      <c r="AL35" s="553"/>
      <c r="AM35" s="507"/>
      <c r="AN35" s="595"/>
      <c r="AO35" s="595"/>
      <c r="AP35" s="595"/>
      <c r="AQ35" s="595"/>
      <c r="AR35" s="595"/>
      <c r="AS35" s="645">
        <v>0</v>
      </c>
    </row>
    <row s="1136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160</v>
      </c>
      <c r="B44" s="1590" t="s">
        <v>161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160</v>
      </c>
      <c r="B45" s="1590" t="s">
        <v>161</v>
      </c>
      <c r="C45" s="1590" t="s">
        <v>162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160</v>
      </c>
      <c r="B46" s="1590" t="s">
        <v>161</v>
      </c>
      <c r="C46" s="1590" t="s">
        <v>162</v>
      </c>
      <c r="D46" s="1590" t="s">
        <v>163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160</v>
      </c>
      <c r="B47" s="1590" t="s">
        <v>161</v>
      </c>
      <c r="C47" s="1590" t="s">
        <v>162</v>
      </c>
      <c r="D47" s="1590" t="s">
        <v>163</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160</v>
      </c>
      <c r="B48" s="1590" t="s">
        <v>161</v>
      </c>
      <c r="C48" s="1590" t="s">
        <v>162</v>
      </c>
      <c r="D48" s="1590" t="s">
        <v>163</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160</v>
      </c>
      <c r="B49" s="1590" t="s">
        <v>161</v>
      </c>
      <c r="C49" s="1590" t="s">
        <v>162</v>
      </c>
      <c r="D49" s="1590" t="s">
        <v>163</v>
      </c>
      <c r="E49" s="2486"/>
      <c r="F49" s="2486"/>
      <c r="G49" s="2486"/>
      <c r="H49" s="2486"/>
      <c r="I49" s="2513"/>
      <c r="J49" s="2513"/>
      <c r="K49" s="2483" t="str">
        <f>J48&amp;".1"</f>
        <v>....1.1.1</v>
      </c>
      <c r="L49" s="1591" t="s">
        <v>411</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160</v>
      </c>
      <c r="B50" s="1590" t="s">
        <v>161</v>
      </c>
      <c r="C50" s="1590" t="s">
        <v>162</v>
      </c>
      <c r="D50" s="1590" t="s">
        <v>163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160</v>
      </c>
      <c r="B51" s="1590" t="s">
        <v>161</v>
      </c>
      <c r="C51" s="1590" t="s">
        <v>162</v>
      </c>
      <c r="D51" s="1590" t="s">
        <v>163</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160</v>
      </c>
      <c r="B52" s="1590" t="s">
        <v>161</v>
      </c>
      <c r="C52" s="1590" t="s">
        <v>162</v>
      </c>
      <c r="D52" s="1590" t="s">
        <v>163</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160</v>
      </c>
      <c r="B53" s="1590" t="s">
        <v>161</v>
      </c>
      <c r="C53" s="1590" t="s">
        <v>162</v>
      </c>
      <c r="D53" s="1590" t="s">
        <v>163</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39" customFormat="1" customHeight="1" ht="1.05">
      <c r="A54" s="1570" t="s">
        <v>160</v>
      </c>
      <c r="B54" s="1570" t="s">
        <v>161</v>
      </c>
      <c r="C54" s="1570" t="s">
        <v>162</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39" customFormat="1" customHeight="1" ht="1.05">
      <c r="A55" s="1570" t="s">
        <v>160</v>
      </c>
      <c r="B55" s="1570" t="s">
        <v>161</v>
      </c>
      <c r="C55" s="1541"/>
      <c r="D55" s="1541"/>
      <c r="E55" s="2486"/>
      <c r="F55" s="2485"/>
      <c r="G55" s="1541"/>
      <c r="H55" s="1541"/>
      <c r="I55" s="1541"/>
      <c r="J55" s="1541"/>
      <c r="K55" s="1541"/>
      <c r="L55" s="1566"/>
      <c r="M55" s="1548"/>
      <c r="N55" s="154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39" customFormat="1" customHeight="1" ht="1.05">
      <c r="A56" s="1570" t="s">
        <v>160</v>
      </c>
      <c r="B56" s="1570"/>
      <c r="C56" s="1570"/>
      <c r="D56" s="1570"/>
      <c r="E56" s="2485"/>
      <c r="F56" s="1570"/>
      <c r="G56" s="1570"/>
      <c r="H56" s="1570"/>
      <c r="I56" s="1570"/>
      <c r="J56" s="1570"/>
      <c r="K56" s="1570"/>
      <c r="L56" s="1573"/>
      <c r="M56" s="1548"/>
      <c r="N56" s="1548"/>
      <c r="O56" s="745"/>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3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785F8-2CC8-206F-776C-5C8803BA64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60" width="10.57421875" hidden="1"/>
    <col min="2" max="2" style="11160" width="11.00390625" hidden="1" customWidth="1"/>
    <col min="3" max="3" style="11160" width="10.57421875" hidden="1"/>
    <col min="4" max="4" style="11160" width="11.8515625" hidden="1" customWidth="1"/>
    <col min="5" max="5" style="11160" width="10.00390625" hidden="1" customWidth="1"/>
    <col min="6" max="6" style="11160" width="8.7109375" hidden="1" customWidth="1"/>
    <col min="7" max="7" style="11160" width="7.57421875" hidden="1" customWidth="1"/>
    <col min="8" max="8" style="11160" width="11.421875" hidden="1" customWidth="1"/>
    <col min="9" max="9" style="11160" width="12.00390625" hidden="1" customWidth="1"/>
    <col min="10" max="10" style="11160" width="9.8515625" hidden="1" customWidth="1"/>
    <col min="11" max="11" style="11160" width="11.421875" hidden="1" customWidth="1"/>
    <col min="12" max="12" style="11236" width="19.140625" hidden="1" customWidth="1"/>
    <col min="13" max="14" style="12054" width="12.28125" hidden="1" customWidth="1"/>
    <col min="15" max="15" style="12054" width="23.421875" hidden="1" customWidth="1"/>
    <col min="16" max="16" style="12054" width="3.00390625" customWidth="1"/>
    <col min="17" max="18" style="12055" width="3.00390625" customWidth="1"/>
    <col min="19" max="19" style="12056" width="12.00390625" customWidth="1"/>
    <col min="20" max="20" style="11160" width="31.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39"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39"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39"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38"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23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38"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6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65"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45408</v>
      </c>
      <c r="W30" s="2491"/>
      <c r="X30" s="2491"/>
      <c r="Y30" s="2491"/>
      <c r="Z30" s="2491"/>
      <c r="AA30" s="2491"/>
      <c r="AB30" s="2491"/>
      <c r="AC30" s="1862"/>
      <c r="AD30" s="2491" t="str">
        <f>IF(TITLE_DATE_PR_CHANGE="",IF(TITLE_DATE_PR="","",TITLE_DATE_PR),TITLE_DATE_PR_CHANGE)</f>
        <v>45408</v>
      </c>
      <c r="AE30" s="2491"/>
      <c r="AF30" s="2491"/>
      <c r="AG30" s="2491"/>
      <c r="AH30" s="2491"/>
      <c r="AI30" s="2491"/>
      <c r="AJ30" s="2491"/>
      <c r="AK30" s="1862"/>
      <c r="AL30" s="1862"/>
      <c r="AM30" s="507"/>
      <c r="AN30" s="595"/>
      <c r="AO30" s="595"/>
      <c r="AP30" s="595"/>
      <c r="AQ30" s="595"/>
      <c r="AR30" s="595"/>
      <c r="AS30" s="645">
        <v>0</v>
      </c>
    </row>
    <row s="11365"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04/4240</v>
      </c>
      <c r="W31" s="2478"/>
      <c r="X31" s="2478"/>
      <c r="Y31" s="2478"/>
      <c r="Z31" s="2478"/>
      <c r="AA31" s="2478"/>
      <c r="AB31" s="2478"/>
      <c r="AC31" s="1862"/>
      <c r="AD31" s="2478" t="str">
        <f>IF(TITLE_NUMBER_PR_CHANGE="",IF(TITLE_NUMBER_PR="","",TITLE_NUMBER_PR),TITLE_NUMBER_PR_CHANGE)</f>
        <v>04/4240</v>
      </c>
      <c r="AE31" s="2478"/>
      <c r="AF31" s="2478"/>
      <c r="AG31" s="2478"/>
      <c r="AH31" s="2478"/>
      <c r="AI31" s="2478"/>
      <c r="AJ31" s="2478"/>
      <c r="AK31" s="1862"/>
      <c r="AL31" s="1862"/>
      <c r="AM31" s="507"/>
      <c r="AN31" s="595"/>
      <c r="AO31" s="595"/>
      <c r="AP31" s="595"/>
      <c r="AQ31" s="595"/>
      <c r="AR31" s="595"/>
      <c r="AS31" s="645">
        <v>0</v>
      </c>
    </row>
    <row s="1136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65"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45408</v>
      </c>
      <c r="W34" s="2491"/>
      <c r="X34" s="2491"/>
      <c r="Y34" s="2491"/>
      <c r="Z34" s="2491"/>
      <c r="AA34" s="2491"/>
      <c r="AB34" s="2491"/>
      <c r="AC34" s="1862"/>
      <c r="AD34" s="2491" t="str">
        <f>IF(TITLE_DATE_PR_CHANGE="",IF(TITLE_DATE_PR="","",TITLE_DATE_PR),TITLE_DATE_PR_CHANGE)</f>
        <v>45408</v>
      </c>
      <c r="AE34" s="2491"/>
      <c r="AF34" s="2491"/>
      <c r="AG34" s="2491"/>
      <c r="AH34" s="2491"/>
      <c r="AI34" s="2491"/>
      <c r="AJ34" s="2491"/>
      <c r="AK34" s="1862"/>
      <c r="AL34" s="1862"/>
      <c r="AM34" s="507"/>
      <c r="AN34" s="595"/>
      <c r="AO34" s="595"/>
      <c r="AP34" s="595"/>
      <c r="AQ34" s="595"/>
      <c r="AR34" s="595"/>
      <c r="AS34" s="645">
        <v>0</v>
      </c>
    </row>
    <row s="11365"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04/4240</v>
      </c>
      <c r="W35" s="2478"/>
      <c r="X35" s="2478"/>
      <c r="Y35" s="2478"/>
      <c r="Z35" s="2478"/>
      <c r="AA35" s="2478"/>
      <c r="AB35" s="2478"/>
      <c r="AC35" s="1862"/>
      <c r="AD35" s="2478" t="str">
        <f>IF(TITLE_NUMBER_PR_CHANGE="",IF(TITLE_NUMBER_PR="","",TITLE_NUMBER_PR),TITLE_NUMBER_PR_CHANGE)</f>
        <v>04/4240</v>
      </c>
      <c r="AE35" s="2478"/>
      <c r="AF35" s="2478"/>
      <c r="AG35" s="2478"/>
      <c r="AH35" s="2478"/>
      <c r="AI35" s="2478"/>
      <c r="AJ35" s="2478"/>
      <c r="AK35" s="1862"/>
      <c r="AL35" s="1862"/>
      <c r="AM35" s="507"/>
      <c r="AN35" s="595"/>
      <c r="AO35" s="595"/>
      <c r="AP35" s="595"/>
      <c r="AQ35" s="595"/>
      <c r="AR35" s="595"/>
      <c r="AS35" s="645">
        <v>0</v>
      </c>
    </row>
    <row s="1136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80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209</v>
      </c>
      <c r="B44" s="1494" t="s">
        <v>210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209</v>
      </c>
      <c r="B45" s="1494" t="s">
        <v>210</v>
      </c>
      <c r="C45" s="1494" t="s">
        <v>211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209</v>
      </c>
      <c r="B46" s="1494" t="s">
        <v>210</v>
      </c>
      <c r="C46" s="1494" t="s">
        <v>211</v>
      </c>
      <c r="D46" s="1494" t="s">
        <v>212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209</v>
      </c>
      <c r="B47" s="1494" t="s">
        <v>210</v>
      </c>
      <c r="C47" s="1494" t="s">
        <v>211</v>
      </c>
      <c r="D47" s="1494" t="s">
        <v>212</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209</v>
      </c>
      <c r="B48" s="1494" t="s">
        <v>210</v>
      </c>
      <c r="C48" s="1494" t="s">
        <v>211</v>
      </c>
      <c r="D48" s="1494" t="s">
        <v>212</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209</v>
      </c>
      <c r="B49" s="1494" t="s">
        <v>210</v>
      </c>
      <c r="C49" s="1494" t="s">
        <v>211</v>
      </c>
      <c r="D49" s="1494" t="s">
        <v>212</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209</v>
      </c>
      <c r="B50" s="1494" t="s">
        <v>210</v>
      </c>
      <c r="C50" s="1494" t="s">
        <v>211</v>
      </c>
      <c r="D50" s="1494" t="s">
        <v>212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209</v>
      </c>
      <c r="B51" s="1494" t="s">
        <v>210</v>
      </c>
      <c r="C51" s="1494" t="s">
        <v>211</v>
      </c>
      <c r="D51" s="1494" t="s">
        <v>212</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209</v>
      </c>
      <c r="B52" s="1494" t="s">
        <v>210</v>
      </c>
      <c r="C52" s="1494" t="s">
        <v>211</v>
      </c>
      <c r="D52" s="1494" t="s">
        <v>212</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209</v>
      </c>
      <c r="B53" s="1494" t="s">
        <v>210</v>
      </c>
      <c r="C53" s="1494" t="s">
        <v>211</v>
      </c>
      <c r="D53" s="1494" t="s">
        <v>212</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39" customFormat="1" customHeight="1" ht="4.2">
      <c r="A54" s="1602" t="s">
        <v>209</v>
      </c>
      <c r="B54" s="1602" t="s">
        <v>210</v>
      </c>
      <c r="C54" s="1602" t="s">
        <v>211</v>
      </c>
      <c r="D54" s="1601"/>
      <c r="E54" s="2517"/>
      <c r="F54" s="2517"/>
      <c r="G54" s="2516"/>
      <c r="H54" s="1601"/>
      <c r="I54" s="1601"/>
      <c r="J54" s="1601"/>
      <c r="K54" s="1601"/>
      <c r="L54" s="1604"/>
      <c r="M54" s="1605"/>
      <c r="N54" s="1605"/>
      <c r="O54" s="578"/>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39" customFormat="1" customHeight="1" ht="4.2">
      <c r="A55" s="1602" t="s">
        <v>209</v>
      </c>
      <c r="B55" s="1602" t="s">
        <v>210</v>
      </c>
      <c r="C55" s="1601"/>
      <c r="D55" s="1601"/>
      <c r="E55" s="2517"/>
      <c r="F55" s="2516"/>
      <c r="G55" s="1601"/>
      <c r="H55" s="1601"/>
      <c r="I55" s="1601"/>
      <c r="J55" s="1601"/>
      <c r="K55" s="1601"/>
      <c r="L55" s="1604"/>
      <c r="M55" s="1606"/>
      <c r="N55" s="1606"/>
      <c r="O55" s="57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39" customFormat="1" customHeight="1" ht="4.2">
      <c r="A56" s="1602" t="s">
        <v>209</v>
      </c>
      <c r="B56" s="1602"/>
      <c r="C56" s="1602"/>
      <c r="D56" s="1602"/>
      <c r="E56" s="2516"/>
      <c r="F56" s="1602"/>
      <c r="G56" s="1602"/>
      <c r="H56" s="1602"/>
      <c r="I56" s="1602"/>
      <c r="J56" s="1602"/>
      <c r="K56" s="1602"/>
      <c r="L56" s="1608"/>
      <c r="M56" s="1606"/>
      <c r="N56" s="1606"/>
      <c r="O56" s="578"/>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39"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E3E1-2268-0868-5E5F-E6CBE900BA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60" width="10.57421875" hidden="1"/>
    <col min="2" max="2" style="11160" width="11.00390625" hidden="1" customWidth="1"/>
    <col min="3" max="3" style="11160" width="10.57421875" hidden="1"/>
    <col min="4" max="4" style="11160" width="11.8515625" hidden="1" customWidth="1"/>
    <col min="5" max="5" style="11160" width="10.00390625" hidden="1" customWidth="1"/>
    <col min="6" max="6" style="11160" width="8.7109375" hidden="1" customWidth="1"/>
    <col min="7" max="7" style="11160" width="7.57421875" hidden="1" customWidth="1"/>
    <col min="8" max="8" style="11160" width="11.421875" hidden="1" customWidth="1"/>
    <col min="9" max="9" style="11160" width="12.00390625" hidden="1" customWidth="1"/>
    <col min="10" max="10" style="11160" width="9.8515625" hidden="1" customWidth="1"/>
    <col min="11" max="11" style="11160" width="11.421875" hidden="1" customWidth="1"/>
    <col min="12" max="12" style="11236" width="19.140625" hidden="1" customWidth="1"/>
    <col min="13" max="14" style="12054" width="12.28125" hidden="1" customWidth="1"/>
    <col min="15" max="15" style="12054" width="23.421875" hidden="1" customWidth="1"/>
    <col min="16" max="16" style="12054" width="3.00390625" customWidth="1"/>
    <col min="17" max="18" style="12055" width="3.00390625" customWidth="1"/>
    <col min="19" max="19" style="12056" width="12.00390625" customWidth="1"/>
    <col min="20" max="20" style="11160" width="31.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39"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39"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39"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38"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23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38"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6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65"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45408</v>
      </c>
      <c r="W30" s="2491"/>
      <c r="X30" s="2491"/>
      <c r="Y30" s="2491"/>
      <c r="Z30" s="2491"/>
      <c r="AA30" s="2491"/>
      <c r="AB30" s="2491"/>
      <c r="AC30" s="1862"/>
      <c r="AD30" s="2491" t="str">
        <f>IF(TITLE_DATE_PR_CHANGE="",IF(TITLE_DATE_PR="","",TITLE_DATE_PR),TITLE_DATE_PR_CHANGE)</f>
        <v>45408</v>
      </c>
      <c r="AE30" s="2491"/>
      <c r="AF30" s="2491"/>
      <c r="AG30" s="2491"/>
      <c r="AH30" s="2491"/>
      <c r="AI30" s="2491"/>
      <c r="AJ30" s="2491"/>
      <c r="AK30" s="1862"/>
      <c r="AL30" s="1862"/>
      <c r="AM30" s="507"/>
      <c r="AN30" s="595"/>
      <c r="AO30" s="595"/>
      <c r="AP30" s="595"/>
      <c r="AQ30" s="595"/>
      <c r="AR30" s="595"/>
      <c r="AS30" s="645">
        <v>0</v>
      </c>
    </row>
    <row s="11365"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04/4240</v>
      </c>
      <c r="W31" s="2478"/>
      <c r="X31" s="2478"/>
      <c r="Y31" s="2478"/>
      <c r="Z31" s="2478"/>
      <c r="AA31" s="2478"/>
      <c r="AB31" s="2478"/>
      <c r="AC31" s="1862"/>
      <c r="AD31" s="2478" t="str">
        <f>IF(TITLE_NUMBER_PR_CHANGE="",IF(TITLE_NUMBER_PR="","",TITLE_NUMBER_PR),TITLE_NUMBER_PR_CHANGE)</f>
        <v>04/4240</v>
      </c>
      <c r="AE31" s="2478"/>
      <c r="AF31" s="2478"/>
      <c r="AG31" s="2478"/>
      <c r="AH31" s="2478"/>
      <c r="AI31" s="2478"/>
      <c r="AJ31" s="2478"/>
      <c r="AK31" s="1862"/>
      <c r="AL31" s="1862"/>
      <c r="AM31" s="507"/>
      <c r="AN31" s="595"/>
      <c r="AO31" s="595"/>
      <c r="AP31" s="595"/>
      <c r="AQ31" s="595"/>
      <c r="AR31" s="595"/>
      <c r="AS31" s="645">
        <v>0</v>
      </c>
    </row>
    <row s="1136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65"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45408</v>
      </c>
      <c r="W34" s="2491"/>
      <c r="X34" s="2491"/>
      <c r="Y34" s="2491"/>
      <c r="Z34" s="2491"/>
      <c r="AA34" s="2491"/>
      <c r="AB34" s="2491"/>
      <c r="AC34" s="1862"/>
      <c r="AD34" s="2491" t="str">
        <f>IF(TITLE_DATE_PR_CHANGE="",IF(TITLE_DATE_PR="","",TITLE_DATE_PR),TITLE_DATE_PR_CHANGE)</f>
        <v>45408</v>
      </c>
      <c r="AE34" s="2491"/>
      <c r="AF34" s="2491"/>
      <c r="AG34" s="2491"/>
      <c r="AH34" s="2491"/>
      <c r="AI34" s="2491"/>
      <c r="AJ34" s="2491"/>
      <c r="AK34" s="1862"/>
      <c r="AL34" s="1862"/>
      <c r="AM34" s="507"/>
      <c r="AN34" s="595"/>
      <c r="AO34" s="595"/>
      <c r="AP34" s="595"/>
      <c r="AQ34" s="595"/>
      <c r="AR34" s="595"/>
      <c r="AS34" s="645">
        <v>0</v>
      </c>
    </row>
    <row s="11365"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04/4240</v>
      </c>
      <c r="W35" s="2478"/>
      <c r="X35" s="2478"/>
      <c r="Y35" s="2478"/>
      <c r="Z35" s="2478"/>
      <c r="AA35" s="2478"/>
      <c r="AB35" s="2478"/>
      <c r="AC35" s="1862"/>
      <c r="AD35" s="2478" t="str">
        <f>IF(TITLE_NUMBER_PR_CHANGE="",IF(TITLE_NUMBER_PR="","",TITLE_NUMBER_PR),TITLE_NUMBER_PR_CHANGE)</f>
        <v>04/4240</v>
      </c>
      <c r="AE35" s="2478"/>
      <c r="AF35" s="2478"/>
      <c r="AG35" s="2478"/>
      <c r="AH35" s="2478"/>
      <c r="AI35" s="2478"/>
      <c r="AJ35" s="2478"/>
      <c r="AK35" s="1862"/>
      <c r="AL35" s="1862"/>
      <c r="AM35" s="507"/>
      <c r="AN35" s="595"/>
      <c r="AO35" s="595"/>
      <c r="AP35" s="595"/>
      <c r="AQ35" s="595"/>
      <c r="AR35" s="595"/>
      <c r="AS35" s="645">
        <v>0</v>
      </c>
    </row>
    <row s="1136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80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209</v>
      </c>
      <c r="B44" s="1494" t="s">
        <v>210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209</v>
      </c>
      <c r="B45" s="1494" t="s">
        <v>210</v>
      </c>
      <c r="C45" s="1494" t="s">
        <v>211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209</v>
      </c>
      <c r="B46" s="1494" t="s">
        <v>210</v>
      </c>
      <c r="C46" s="1494" t="s">
        <v>211</v>
      </c>
      <c r="D46" s="1494" t="s">
        <v>212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209</v>
      </c>
      <c r="B47" s="1494" t="s">
        <v>210</v>
      </c>
      <c r="C47" s="1494" t="s">
        <v>211</v>
      </c>
      <c r="D47" s="1494" t="s">
        <v>212</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209</v>
      </c>
      <c r="B48" s="1494" t="s">
        <v>210</v>
      </c>
      <c r="C48" s="1494" t="s">
        <v>211</v>
      </c>
      <c r="D48" s="1494" t="s">
        <v>212</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209</v>
      </c>
      <c r="B49" s="1494" t="s">
        <v>210</v>
      </c>
      <c r="C49" s="1494" t="s">
        <v>211</v>
      </c>
      <c r="D49" s="1494" t="s">
        <v>212</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209</v>
      </c>
      <c r="B50" s="1494" t="s">
        <v>210</v>
      </c>
      <c r="C50" s="1494" t="s">
        <v>211</v>
      </c>
      <c r="D50" s="1494" t="s">
        <v>212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209</v>
      </c>
      <c r="B51" s="1494" t="s">
        <v>210</v>
      </c>
      <c r="C51" s="1494" t="s">
        <v>211</v>
      </c>
      <c r="D51" s="1494" t="s">
        <v>212</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209</v>
      </c>
      <c r="B52" s="1494" t="s">
        <v>210</v>
      </c>
      <c r="C52" s="1494" t="s">
        <v>211</v>
      </c>
      <c r="D52" s="1494" t="s">
        <v>212</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209</v>
      </c>
      <c r="B53" s="1494" t="s">
        <v>210</v>
      </c>
      <c r="C53" s="1494" t="s">
        <v>211</v>
      </c>
      <c r="D53" s="1494" t="s">
        <v>212</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39" customFormat="1" customHeight="1" ht="1.05">
      <c r="A54" s="1494" t="s">
        <v>209</v>
      </c>
      <c r="B54" s="1494" t="s">
        <v>210</v>
      </c>
      <c r="C54" s="1494" t="s">
        <v>211</v>
      </c>
      <c r="D54" s="2201"/>
      <c r="E54" s="2517"/>
      <c r="F54" s="2517"/>
      <c r="G54" s="2516"/>
      <c r="H54" s="2201"/>
      <c r="I54" s="2201"/>
      <c r="J54" s="2201"/>
      <c r="K54" s="2201"/>
      <c r="L54" s="1607"/>
      <c r="M54" s="1837"/>
      <c r="N54" s="1837"/>
      <c r="O54" s="186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39" customFormat="1" customHeight="1" ht="1.05">
      <c r="A55" s="1494" t="s">
        <v>209</v>
      </c>
      <c r="B55" s="1494" t="s">
        <v>210</v>
      </c>
      <c r="C55" s="2201"/>
      <c r="D55" s="2201"/>
      <c r="E55" s="2517"/>
      <c r="F55" s="2516"/>
      <c r="G55" s="2201"/>
      <c r="H55" s="2201"/>
      <c r="I55" s="2201"/>
      <c r="J55" s="2201"/>
      <c r="K55" s="2201"/>
      <c r="L55" s="1607"/>
      <c r="M55" s="2202"/>
      <c r="N55" s="2202"/>
      <c r="O55" s="1862"/>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39" customFormat="1" customHeight="1" ht="1.05">
      <c r="A56" s="1494" t="s">
        <v>209</v>
      </c>
      <c r="B56" s="1494"/>
      <c r="C56" s="1494"/>
      <c r="D56" s="1494"/>
      <c r="E56" s="2516"/>
      <c r="F56" s="1494"/>
      <c r="G56" s="1494"/>
      <c r="H56" s="1494"/>
      <c r="I56" s="1494"/>
      <c r="J56" s="1494"/>
      <c r="K56" s="1494"/>
      <c r="L56" s="1537"/>
      <c r="M56" s="2202"/>
      <c r="N56" s="2202"/>
      <c r="O56" s="1862"/>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39"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BEB48-B18B-9148-8568-9B10C8AA49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1.00390625" customWidth="1"/>
    <col min="21" max="21" style="11160" width="0.7109375" hidden="1" customWidth="1"/>
    <col min="22" max="22" style="11160" width="1.7109375" hidden="1" customWidth="1"/>
    <col min="23" max="23" style="11160" width="24.7109375" hidden="1" customWidth="1"/>
    <col min="24" max="25" style="11160" width="0.14062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0.140625" customWidth="1"/>
    <col min="31" max="31" style="11160" width="24.00390625" customWidth="1"/>
    <col min="32" max="33" style="11160" width="0.14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3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3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3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38"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38" customFormat="1" customHeight="1" ht="14.25" hidden="1">
      <c r="L21" s="1556"/>
      <c r="M21" s="1589"/>
      <c r="N21" s="1589"/>
      <c r="O21" s="1589"/>
      <c r="P21" s="1589"/>
      <c r="Q21" s="1598"/>
      <c r="R21" s="1598"/>
      <c r="S21" s="956"/>
      <c r="AC21" s="1593"/>
      <c r="AK21" s="1593"/>
      <c r="AN21" s="738"/>
      <c r="AO21" s="738"/>
      <c r="AP21" s="738"/>
      <c r="AQ21" s="738"/>
      <c r="AR21" s="738"/>
      <c r="AS21" s="1387">
        <v>0</v>
      </c>
    </row>
    <row s="11238"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6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1365"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04/4240</v>
      </c>
      <c r="W31" s="2478"/>
      <c r="X31" s="2478"/>
      <c r="Y31" s="2478"/>
      <c r="Z31" s="2478"/>
      <c r="AA31" s="2478"/>
      <c r="AB31" s="2478"/>
      <c r="AC31" s="553"/>
      <c r="AD31" s="2478" t="str">
        <f>IF(TITLE_NUMBER_PR_CHANGE="",IF(TITLE_NUMBER_PR="","",TITLE_NUMBER_PR),TITLE_NUMBER_PR_CHANGE)</f>
        <v>04/4240</v>
      </c>
      <c r="AE31" s="2478"/>
      <c r="AF31" s="2478"/>
      <c r="AG31" s="2478"/>
      <c r="AH31" s="2478"/>
      <c r="AI31" s="2478"/>
      <c r="AJ31" s="2478"/>
      <c r="AK31" s="553"/>
      <c r="AL31" s="553"/>
      <c r="AM31" s="507"/>
      <c r="AN31" s="595"/>
      <c r="AO31" s="595"/>
      <c r="AP31" s="595"/>
      <c r="AQ31" s="595"/>
      <c r="AR31" s="595"/>
      <c r="AS31" s="645">
        <v>0</v>
      </c>
    </row>
    <row s="1136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65"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1365"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04/4240</v>
      </c>
      <c r="W35" s="2478"/>
      <c r="X35" s="2478"/>
      <c r="Y35" s="2478"/>
      <c r="Z35" s="2478"/>
      <c r="AA35" s="2478"/>
      <c r="AB35" s="2478"/>
      <c r="AC35" s="553"/>
      <c r="AD35" s="2478" t="str">
        <f>IF(TITLE_NUMBER_PR_CHANGE="",IF(TITLE_NUMBER_PR="","",TITLE_NUMBER_PR),TITLE_NUMBER_PR_CHANGE)</f>
        <v>04/4240</v>
      </c>
      <c r="AE35" s="2478"/>
      <c r="AF35" s="2478"/>
      <c r="AG35" s="2478"/>
      <c r="AH35" s="2478"/>
      <c r="AI35" s="2478"/>
      <c r="AJ35" s="2478"/>
      <c r="AK35" s="553"/>
      <c r="AL35" s="553"/>
      <c r="AM35" s="507"/>
      <c r="AN35" s="595"/>
      <c r="AO35" s="595"/>
      <c r="AP35" s="595"/>
      <c r="AQ35" s="595"/>
      <c r="AR35" s="595"/>
      <c r="AS35" s="645">
        <v>0</v>
      </c>
    </row>
    <row s="1136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1417" customFormat="1" customHeight="1" ht="24">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18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411</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39"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39"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39"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3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A4AE8-5DDC-0B96-9623-2C36BD5F13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4" width="3.7109375" hidden="1" customWidth="1"/>
    <col min="17" max="18" style="12055" width="3.00390625" customWidth="1"/>
    <col min="19" max="19" style="12056" width="12.00390625" customWidth="1"/>
    <col min="20" max="20" style="11160" width="31.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3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3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3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38"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38" customFormat="1" customHeight="1" ht="14.25" hidden="1">
      <c r="L21" s="1556"/>
      <c r="M21" s="1589"/>
      <c r="N21" s="1589"/>
      <c r="O21" s="1589"/>
      <c r="P21" s="1589"/>
      <c r="Q21" s="1598"/>
      <c r="R21" s="1598"/>
      <c r="S21" s="956"/>
      <c r="AC21" s="1593"/>
      <c r="AK21" s="1593"/>
      <c r="AN21" s="738"/>
      <c r="AO21" s="738"/>
      <c r="AP21" s="738"/>
      <c r="AQ21" s="738"/>
      <c r="AR21" s="738"/>
      <c r="AS21" s="1387">
        <v>0</v>
      </c>
    </row>
    <row s="11238"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6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1365"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04/4240</v>
      </c>
      <c r="W31" s="2478"/>
      <c r="X31" s="2478"/>
      <c r="Y31" s="2478"/>
      <c r="Z31" s="2478"/>
      <c r="AA31" s="2478"/>
      <c r="AB31" s="2478"/>
      <c r="AC31" s="553"/>
      <c r="AD31" s="2478" t="str">
        <f>IF(TITLE_NUMBER_PR_CHANGE="",IF(TITLE_NUMBER_PR="","",TITLE_NUMBER_PR),TITLE_NUMBER_PR_CHANGE)</f>
        <v>04/4240</v>
      </c>
      <c r="AE31" s="2478"/>
      <c r="AF31" s="2478"/>
      <c r="AG31" s="2478"/>
      <c r="AH31" s="2478"/>
      <c r="AI31" s="2478"/>
      <c r="AJ31" s="2478"/>
      <c r="AK31" s="553"/>
      <c r="AL31" s="553"/>
      <c r="AM31" s="507"/>
      <c r="AN31" s="595"/>
      <c r="AO31" s="595"/>
      <c r="AP31" s="595"/>
      <c r="AQ31" s="595"/>
      <c r="AR31" s="595"/>
      <c r="AS31" s="645">
        <v>0</v>
      </c>
    </row>
    <row s="1136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65"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1365"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04/4240</v>
      </c>
      <c r="W35" s="2478"/>
      <c r="X35" s="2478"/>
      <c r="Y35" s="2478"/>
      <c r="Z35" s="2478"/>
      <c r="AA35" s="2478"/>
      <c r="AB35" s="2478"/>
      <c r="AC35" s="553"/>
      <c r="AD35" s="2478" t="str">
        <f>IF(TITLE_NUMBER_PR_CHANGE="",IF(TITLE_NUMBER_PR="","",TITLE_NUMBER_PR),TITLE_NUMBER_PR_CHANGE)</f>
        <v>04/4240</v>
      </c>
      <c r="AE35" s="2478"/>
      <c r="AF35" s="2478"/>
      <c r="AG35" s="2478"/>
      <c r="AH35" s="2478"/>
      <c r="AI35" s="2478"/>
      <c r="AJ35" s="2478"/>
      <c r="AK35" s="553"/>
      <c r="AL35" s="553"/>
      <c r="AM35" s="507"/>
      <c r="AN35" s="595"/>
      <c r="AO35" s="595"/>
      <c r="AP35" s="595"/>
      <c r="AQ35" s="595"/>
      <c r="AR35" s="595"/>
      <c r="AS35" s="645">
        <v>0</v>
      </c>
    </row>
    <row s="1136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39" customFormat="1" customHeight="1" ht="0">
      <c r="A47" s="1570" t="s">
        <v>167</v>
      </c>
      <c r="B47" s="1570" t="s">
        <v>168</v>
      </c>
      <c r="C47" s="1570" t="s">
        <v>169</v>
      </c>
      <c r="D47" s="1570" t="s">
        <v>170</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39"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39"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39"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3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9A028-9C65-9858-FC44-A36680A860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4" width="3.7109375" hidden="1" customWidth="1"/>
    <col min="17" max="18" style="12055" width="3.00390625" customWidth="1"/>
    <col min="19" max="19" style="12056" width="12.00390625" customWidth="1"/>
    <col min="20" max="20" style="11160" width="31.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401</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403</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404</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405</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408</v>
      </c>
      <c r="M7" s="764"/>
      <c r="N7" s="1593"/>
      <c r="P7" s="2484"/>
      <c r="Q7" s="2484">
        <v>1</v>
      </c>
      <c r="R7" s="1869"/>
      <c r="S7" s="2234">
        <f>$J7</f>
      </c>
      <c r="T7" s="513" t="s">
        <v>409</v>
      </c>
      <c r="U7" s="527"/>
      <c r="V7" s="2532"/>
      <c r="W7" s="2532"/>
      <c r="X7" s="2532"/>
      <c r="Y7" s="2532"/>
      <c r="Z7" s="2532"/>
      <c r="AA7" s="2532"/>
      <c r="AB7" s="2532"/>
      <c r="AC7" s="2532"/>
      <c r="AD7" s="2532"/>
      <c r="AE7" s="2532"/>
      <c r="AF7" s="2532"/>
      <c r="AG7" s="2532"/>
      <c r="AH7" s="2532"/>
      <c r="AI7" s="2532"/>
      <c r="AJ7" s="2532"/>
      <c r="AK7" s="2532"/>
      <c r="AL7" s="2532"/>
      <c r="AM7" s="2237" t="s">
        <v>410</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411</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3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3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3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38"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38" customFormat="1" customHeight="1" ht="14.25" hidden="1">
      <c r="L21" s="1556"/>
      <c r="M21" s="1589"/>
      <c r="N21" s="1589"/>
      <c r="O21" s="1589"/>
      <c r="P21" s="1589"/>
      <c r="Q21" s="1598"/>
      <c r="R21" s="1598"/>
      <c r="S21" s="956"/>
      <c r="AC21" s="1593"/>
      <c r="AK21" s="1593"/>
      <c r="AN21" s="738"/>
      <c r="AO21" s="738"/>
      <c r="AP21" s="738"/>
      <c r="AQ21" s="738"/>
      <c r="AR21" s="738"/>
      <c r="AS21" s="1387">
        <v>0</v>
      </c>
    </row>
    <row s="11238"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6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1365"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04/4240</v>
      </c>
      <c r="W31" s="2478"/>
      <c r="X31" s="2478"/>
      <c r="Y31" s="2478"/>
      <c r="Z31" s="2478"/>
      <c r="AA31" s="2478"/>
      <c r="AB31" s="2478"/>
      <c r="AC31" s="553"/>
      <c r="AD31" s="2478" t="str">
        <f>IF(TITLE_NUMBER_PR_CHANGE="",IF(TITLE_NUMBER_PR="","",TITLE_NUMBER_PR),TITLE_NUMBER_PR_CHANGE)</f>
        <v>04/4240</v>
      </c>
      <c r="AE31" s="2478"/>
      <c r="AF31" s="2478"/>
      <c r="AG31" s="2478"/>
      <c r="AH31" s="2478"/>
      <c r="AI31" s="2478"/>
      <c r="AJ31" s="2478"/>
      <c r="AK31" s="553"/>
      <c r="AL31" s="553"/>
      <c r="AM31" s="507"/>
      <c r="AN31" s="595"/>
      <c r="AO31" s="595"/>
      <c r="AP31" s="595"/>
      <c r="AQ31" s="595"/>
      <c r="AR31" s="595"/>
      <c r="AS31" s="645">
        <v>0</v>
      </c>
    </row>
    <row s="1136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65"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1365"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04/4240</v>
      </c>
      <c r="W35" s="2478"/>
      <c r="X35" s="2478"/>
      <c r="Y35" s="2478"/>
      <c r="Z35" s="2478"/>
      <c r="AA35" s="2478"/>
      <c r="AB35" s="2478"/>
      <c r="AC35" s="553"/>
      <c r="AD35" s="2478" t="str">
        <f>IF(TITLE_NUMBER_PR_CHANGE="",IF(TITLE_NUMBER_PR="","",TITLE_NUMBER_PR),TITLE_NUMBER_PR_CHANGE)</f>
        <v>04/4240</v>
      </c>
      <c r="AE35" s="2478"/>
      <c r="AF35" s="2478"/>
      <c r="AG35" s="2478"/>
      <c r="AH35" s="2478"/>
      <c r="AI35" s="2478"/>
      <c r="AJ35" s="2478"/>
      <c r="AK35" s="553"/>
      <c r="AL35" s="553"/>
      <c r="AM35" s="507"/>
      <c r="AN35" s="595"/>
      <c r="AO35" s="595"/>
      <c r="AP35" s="595"/>
      <c r="AQ35" s="595"/>
      <c r="AR35" s="595"/>
      <c r="AS35" s="645">
        <v>0</v>
      </c>
    </row>
    <row s="1136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39" customFormat="1" customHeight="1" ht="0">
      <c r="A47" s="1570" t="s">
        <v>179</v>
      </c>
      <c r="B47" s="1570" t="s">
        <v>180</v>
      </c>
      <c r="C47" s="1570" t="s">
        <v>181</v>
      </c>
      <c r="D47" s="1570" t="s">
        <v>182</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39"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39"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39"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3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2392E-58DB-0D05-6768-525FE3012FA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4" width="3.7109375" hidden="1" customWidth="1"/>
    <col min="17" max="18" style="12055" width="3.00390625" customWidth="1"/>
    <col min="19" max="19" style="12056" width="12.00390625" customWidth="1"/>
    <col min="20" max="20" style="11160" width="31.00390625" customWidth="1"/>
    <col min="21" max="21" style="11160" width="0.140625" customWidth="1"/>
    <col min="22" max="22" style="11160" width="24.7109375" hidden="1" customWidth="1"/>
    <col min="23" max="23" style="11160" width="0.140625" hidden="1" customWidth="1"/>
    <col min="24" max="25" style="11160" width="24.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24.7109375" customWidth="1"/>
    <col min="31" max="31" style="11160" width="0.140625" customWidth="1"/>
    <col min="32" max="33" style="11160" width="24.00390625" customWidth="1"/>
    <col min="34" max="34" style="11160" width="11.00390625" customWidth="1"/>
    <col min="35" max="35" style="11160" width="3.7109375" customWidth="1"/>
    <col min="36" max="36" style="11160" width="11.00390625" customWidth="1"/>
    <col min="37" max="37" style="11160" width="8.57421875" hidden="1" customWidth="1"/>
    <col min="38" max="38" style="11160" width="4.00390625" customWidth="1"/>
    <col min="39" max="39" style="11160" width="115.00390625" customWidth="1"/>
    <col min="40" max="44" style="11239" width="10.00390625" customWidth="1"/>
    <col min="45" max="45" style="1116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39"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39"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253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39"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254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38"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38" customFormat="1" customHeight="1" ht="14.25" hidden="1">
      <c r="L21" s="1556"/>
      <c r="M21" s="1589"/>
      <c r="N21" s="1589"/>
      <c r="O21" s="1589"/>
      <c r="P21" s="1589"/>
      <c r="Q21" s="1598"/>
      <c r="R21" s="1598"/>
      <c r="S21" s="956"/>
      <c r="AC21" s="1593"/>
      <c r="AK21" s="1593"/>
      <c r="AN21" s="738"/>
      <c r="AO21" s="738"/>
      <c r="AP21" s="738"/>
      <c r="AQ21" s="738"/>
      <c r="AR21" s="738"/>
      <c r="AS21" s="1387">
        <v>0</v>
      </c>
    </row>
    <row s="11238"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ООО "Рыбинская генерация"</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6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1365"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04/4240</v>
      </c>
      <c r="W31" s="2478"/>
      <c r="X31" s="2478"/>
      <c r="Y31" s="2478"/>
      <c r="Z31" s="2478"/>
      <c r="AA31" s="2478"/>
      <c r="AB31" s="2478"/>
      <c r="AC31" s="553"/>
      <c r="AD31" s="2478" t="str">
        <f>IF(TITLE_NUMBER_PR_CHANGE="",IF(TITLE_NUMBER_PR="","",TITLE_NUMBER_PR),TITLE_NUMBER_PR_CHANGE)</f>
        <v>04/4240</v>
      </c>
      <c r="AE31" s="2478"/>
      <c r="AF31" s="2478"/>
      <c r="AG31" s="2478"/>
      <c r="AH31" s="2478"/>
      <c r="AI31" s="2478"/>
      <c r="AJ31" s="2478"/>
      <c r="AK31" s="553"/>
      <c r="AL31" s="553"/>
      <c r="AM31" s="507"/>
      <c r="AN31" s="595"/>
      <c r="AO31" s="595"/>
      <c r="AP31" s="595"/>
      <c r="AQ31" s="595"/>
      <c r="AR31" s="595"/>
      <c r="AS31" s="645">
        <v>0</v>
      </c>
    </row>
    <row s="1136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65"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1365" customFormat="1" customHeight="1" ht="25.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04/4240</v>
      </c>
      <c r="W35" s="2478"/>
      <c r="X35" s="2478"/>
      <c r="Y35" s="2478"/>
      <c r="Z35" s="2478"/>
      <c r="AA35" s="2478"/>
      <c r="AB35" s="2478"/>
      <c r="AC35" s="553"/>
      <c r="AD35" s="2478" t="str">
        <f>IF(TITLE_NUMBER_PR_CHANGE="",IF(TITLE_NUMBER_PR="","",TITLE_NUMBER_PR),TITLE_NUMBER_PR_CHANGE)</f>
        <v>04/4240</v>
      </c>
      <c r="AE35" s="2478"/>
      <c r="AF35" s="2478"/>
      <c r="AG35" s="2478"/>
      <c r="AH35" s="2478"/>
      <c r="AI35" s="2478"/>
      <c r="AJ35" s="2478"/>
      <c r="AK35" s="553"/>
      <c r="AL35" s="553"/>
      <c r="AM35" s="507"/>
      <c r="AN35" s="595"/>
      <c r="AO35" s="595"/>
      <c r="AP35" s="595"/>
      <c r="AQ35" s="595"/>
      <c r="AR35" s="595"/>
      <c r="AS35" s="645">
        <v>0</v>
      </c>
    </row>
    <row s="1136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39" customFormat="1" customHeight="1" ht="0">
      <c r="A47" s="1570" t="s">
        <v>185</v>
      </c>
      <c r="B47" s="1570" t="s">
        <v>186</v>
      </c>
      <c r="C47" s="1570" t="s">
        <v>187</v>
      </c>
      <c r="D47" s="1570" t="s">
        <v>188</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39"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39"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253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39"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254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39"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51159-8B42-8758-63B8-DF2A542FF36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60" width="10.57421875" hidden="1"/>
    <col min="2" max="2" style="11160" width="11.00390625" hidden="1" customWidth="1"/>
    <col min="3" max="3" style="11160" width="10.57421875" hidden="1"/>
    <col min="4" max="4" style="11160" width="11.8515625" hidden="1" customWidth="1"/>
    <col min="5" max="5" style="11160" width="10.00390625" hidden="1" customWidth="1"/>
    <col min="6" max="6" style="11160" width="8.7109375" hidden="1" customWidth="1"/>
    <col min="7" max="7" style="11160" width="7.57421875" hidden="1" customWidth="1"/>
    <col min="8" max="8" style="11160" width="11.421875" hidden="1" customWidth="1"/>
    <col min="9" max="9" style="11160" width="12.00390625" hidden="1" customWidth="1"/>
    <col min="10" max="10" style="11160" width="9.8515625" hidden="1" customWidth="1"/>
    <col min="11" max="12" style="11160" width="11.421875" hidden="1" customWidth="1"/>
    <col min="13" max="13" style="11236" width="19.140625" hidden="1" customWidth="1"/>
    <col min="14" max="15" style="12054" width="12.28125" hidden="1" customWidth="1"/>
    <col min="16" max="16" style="12054" width="23.421875" hidden="1" customWidth="1"/>
    <col min="17" max="17" style="12054" width="3.7109375" hidden="1" customWidth="1"/>
    <col min="18" max="20" style="12055" width="3.00390625" customWidth="1"/>
    <col min="21" max="21" style="12056" width="12.00390625" customWidth="1"/>
    <col min="22" max="22" style="11160" width="31.00390625" customWidth="1"/>
    <col min="23" max="23" style="11160" width="0.140625" customWidth="1"/>
    <col min="24" max="28" style="11160" width="21.7109375" hidden="1" customWidth="1"/>
    <col min="29" max="29" style="11160" width="11.7109375" hidden="1" customWidth="1"/>
    <col min="30" max="30" style="11160" width="3.7109375" hidden="1" customWidth="1"/>
    <col min="31" max="31" style="11160" width="11.7109375" hidden="1" customWidth="1"/>
    <col min="32" max="32" style="11160" width="8.57421875" hidden="1" customWidth="1"/>
    <col min="33" max="33" style="11160" width="21.7109375" customWidth="1"/>
    <col min="34" max="37" style="11160" width="21.00390625" customWidth="1"/>
    <col min="38" max="38" style="11160" width="11.00390625" customWidth="1"/>
    <col min="39" max="39" style="11160" width="3.7109375" customWidth="1"/>
    <col min="40" max="40" style="11160" width="11.00390625" customWidth="1"/>
    <col min="41" max="41" style="11160" width="8.57421875" hidden="1" customWidth="1"/>
    <col min="42" max="42" style="11160" width="4.00390625" customWidth="1"/>
    <col min="43" max="43" style="11160" width="115.00390625" customWidth="1"/>
    <col min="44" max="48" style="11239" width="10.00390625" customWidth="1"/>
    <col min="49" max="49" style="1116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398</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399</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400</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401</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402</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403</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404</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405</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408</v>
      </c>
      <c r="N7" s="736"/>
      <c r="O7" s="554"/>
      <c r="Q7" s="2484"/>
      <c r="R7" s="2484">
        <v>1</v>
      </c>
      <c r="S7" s="745"/>
      <c r="T7" s="584"/>
      <c r="U7" s="1563">
        <f>$J7</f>
      </c>
      <c r="V7" s="513" t="s">
        <v>409</v>
      </c>
      <c r="W7" s="527"/>
      <c r="X7" s="2472"/>
      <c r="Y7" s="2473"/>
      <c r="Z7" s="2473"/>
      <c r="AA7" s="2473"/>
      <c r="AB7" s="2473"/>
      <c r="AC7" s="2462"/>
      <c r="AD7" s="2462"/>
      <c r="AE7" s="2462"/>
      <c r="AF7" s="2535"/>
      <c r="AG7" s="2472"/>
      <c r="AH7" s="2473"/>
      <c r="AI7" s="2473"/>
      <c r="AJ7" s="2473"/>
      <c r="AK7" s="2473"/>
      <c r="AL7" s="2473"/>
      <c r="AM7" s="2473"/>
      <c r="AN7" s="2473"/>
      <c r="AO7" s="2473"/>
      <c r="AP7" s="2474"/>
      <c r="AQ7" s="1485" t="s">
        <v>410</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411</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413</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414</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39"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416</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39"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253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39"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254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238"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1238"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38"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ООО "Рыбинская генерация"</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65"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365"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45408</v>
      </c>
      <c r="Y34" s="2491"/>
      <c r="Z34" s="2491"/>
      <c r="AA34" s="2491"/>
      <c r="AB34" s="2491"/>
      <c r="AC34" s="2491"/>
      <c r="AD34" s="2491"/>
      <c r="AE34" s="2491"/>
      <c r="AF34" s="553"/>
      <c r="AG34" s="2491" t="str">
        <f>IF(TITLE_DATE_PR_CHANGE="",IF(TITLE_DATE_PR="","",TITLE_DATE_PR),TITLE_DATE_PR_CHANGE)</f>
        <v>45408</v>
      </c>
      <c r="AH34" s="2491"/>
      <c r="AI34" s="2491"/>
      <c r="AJ34" s="2491"/>
      <c r="AK34" s="2491"/>
      <c r="AL34" s="2491"/>
      <c r="AM34" s="2491"/>
      <c r="AN34" s="2491"/>
      <c r="AO34" s="553"/>
      <c r="AP34" s="553"/>
      <c r="AQ34" s="507"/>
      <c r="AR34" s="595"/>
      <c r="AS34" s="595"/>
      <c r="AT34" s="595"/>
      <c r="AU34" s="595"/>
      <c r="AV34" s="595"/>
      <c r="AW34" s="645">
        <v>0</v>
      </c>
    </row>
    <row s="11365"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04/4240</v>
      </c>
      <c r="Y35" s="2478"/>
      <c r="Z35" s="2478"/>
      <c r="AA35" s="2478"/>
      <c r="AB35" s="2478"/>
      <c r="AC35" s="2478"/>
      <c r="AD35" s="2478"/>
      <c r="AE35" s="2478"/>
      <c r="AF35" s="553"/>
      <c r="AG35" s="2478" t="str">
        <f>IF(TITLE_NUMBER_PR_CHANGE="",IF(TITLE_NUMBER_PR="","",TITLE_NUMBER_PR),TITLE_NUMBER_PR_CHANGE)</f>
        <v>04/4240</v>
      </c>
      <c r="AH35" s="2478"/>
      <c r="AI35" s="2478"/>
      <c r="AJ35" s="2478"/>
      <c r="AK35" s="2478"/>
      <c r="AL35" s="2478"/>
      <c r="AM35" s="2478"/>
      <c r="AN35" s="2478"/>
      <c r="AO35" s="553"/>
      <c r="AP35" s="553"/>
      <c r="AQ35" s="507"/>
      <c r="AR35" s="595"/>
      <c r="AS35" s="595"/>
      <c r="AT35" s="595"/>
      <c r="AU35" s="595"/>
      <c r="AV35" s="595"/>
      <c r="AW35" s="645">
        <v>0</v>
      </c>
    </row>
    <row s="11365"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65" customFormat="1" customHeight="1" ht="18.75">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45408</v>
      </c>
      <c r="Y38" s="2491"/>
      <c r="Z38" s="2491"/>
      <c r="AA38" s="2491"/>
      <c r="AB38" s="2491"/>
      <c r="AC38" s="2491"/>
      <c r="AD38" s="2491"/>
      <c r="AE38" s="2491"/>
      <c r="AF38" s="553"/>
      <c r="AG38" s="2491" t="str">
        <f>IF(TITLE_DATE_PR_CHANGE="",IF(TITLE_DATE_PR="","",TITLE_DATE_PR),TITLE_DATE_PR_CHANGE)</f>
        <v>45408</v>
      </c>
      <c r="AH38" s="2491"/>
      <c r="AI38" s="2491"/>
      <c r="AJ38" s="2491"/>
      <c r="AK38" s="2491"/>
      <c r="AL38" s="2491"/>
      <c r="AM38" s="2491"/>
      <c r="AN38" s="2491"/>
      <c r="AO38" s="553"/>
      <c r="AP38" s="553"/>
      <c r="AQ38" s="507"/>
      <c r="AR38" s="595"/>
      <c r="AS38" s="595"/>
      <c r="AT38" s="595"/>
      <c r="AU38" s="595"/>
      <c r="AV38" s="595"/>
      <c r="AW38" s="645">
        <v>0</v>
      </c>
    </row>
    <row s="11365" customFormat="1" customHeight="1" ht="18.75">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04/4240</v>
      </c>
      <c r="Y39" s="2478"/>
      <c r="Z39" s="2478"/>
      <c r="AA39" s="2478"/>
      <c r="AB39" s="2478"/>
      <c r="AC39" s="2478"/>
      <c r="AD39" s="2478"/>
      <c r="AE39" s="2478"/>
      <c r="AF39" s="553"/>
      <c r="AG39" s="2478" t="str">
        <f>IF(TITLE_NUMBER_PR_CHANGE="",IF(TITLE_NUMBER_PR="","",TITLE_NUMBER_PR),TITLE_NUMBER_PR_CHANGE)</f>
        <v>04/4240</v>
      </c>
      <c r="AH39" s="2478"/>
      <c r="AI39" s="2478"/>
      <c r="AJ39" s="2478"/>
      <c r="AK39" s="2478"/>
      <c r="AL39" s="2478"/>
      <c r="AM39" s="2478"/>
      <c r="AN39" s="2478"/>
      <c r="AO39" s="553"/>
      <c r="AP39" s="553"/>
      <c r="AQ39" s="507"/>
      <c r="AR39" s="595"/>
      <c r="AS39" s="595"/>
      <c r="AT39" s="595"/>
      <c r="AU39" s="595"/>
      <c r="AV39" s="595"/>
      <c r="AW39" s="645">
        <v>0</v>
      </c>
    </row>
    <row s="11365"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302</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303</v>
      </c>
      <c r="AW42" s="1382">
        <v>14</v>
      </c>
    </row>
    <row customHeight="1" ht="14.699999999999998">
      <c r="R43" s="603"/>
      <c r="S43" s="603"/>
      <c r="T43" s="603"/>
      <c r="U43" s="2500" t="s">
        <v>87</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454</v>
      </c>
      <c r="Y44" s="2539" t="s">
        <v>455</v>
      </c>
      <c r="Z44" s="2539"/>
      <c r="AA44" s="2539"/>
      <c r="AB44" s="2539"/>
      <c r="AC44" s="2521" t="s">
        <v>436</v>
      </c>
      <c r="AD44" s="2838"/>
      <c r="AE44" s="2541"/>
      <c r="AF44" s="2505"/>
      <c r="AG44" s="2521" t="s">
        <v>454</v>
      </c>
      <c r="AH44" s="2539" t="s">
        <v>455</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446</v>
      </c>
      <c r="AD46" s="2548" t="s">
        <v>447</v>
      </c>
      <c r="AE46" s="2549"/>
      <c r="AF46" s="2505"/>
      <c r="AG46" s="2552"/>
      <c r="AH46" s="2545"/>
      <c r="AI46" s="2544" t="s">
        <v>458</v>
      </c>
      <c r="AJ46" s="2497" t="s">
        <v>459</v>
      </c>
      <c r="AK46" s="2498"/>
      <c r="AL46" s="2544" t="s">
        <v>446</v>
      </c>
      <c r="AM46" s="2548" t="s">
        <v>447</v>
      </c>
      <c r="AN46" s="2549"/>
      <c r="AO46" s="2505"/>
      <c r="AP46" s="2508"/>
      <c r="AQ46" s="2354"/>
      <c r="AW46" s="1382">
        <v>26</v>
      </c>
    </row>
    <row customHeight="1" ht="65.25">
      <c r="A47" s="1486"/>
      <c r="B47" s="1486" t="s">
        <v>134</v>
      </c>
      <c r="C47" s="1486" t="s">
        <v>135</v>
      </c>
      <c r="D47" s="1486" t="s">
        <v>136</v>
      </c>
      <c r="E47" s="1537" t="s">
        <v>437</v>
      </c>
      <c r="F47" s="1537" t="s">
        <v>438</v>
      </c>
      <c r="G47" s="1537" t="s">
        <v>439</v>
      </c>
      <c r="H47" s="1537" t="s">
        <v>440</v>
      </c>
      <c r="I47" s="1537" t="s">
        <v>441</v>
      </c>
      <c r="J47" s="1537" t="s">
        <v>442</v>
      </c>
      <c r="K47" s="1537" t="s">
        <v>443</v>
      </c>
      <c r="L47" s="1537" t="s">
        <v>460</v>
      </c>
      <c r="M47" s="1537" t="s">
        <v>418</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80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399</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400</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401</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402</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403</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404</v>
      </c>
      <c r="AS52" s="727"/>
      <c r="AT52" s="727" t="str">
        <f>IF(V52="","",V52)</f>
        <v>Источник тепловой энергии  </v>
      </c>
      <c r="AU52" s="727"/>
      <c r="AV52" s="727"/>
      <c r="AW52" s="1382">
        <v>21</v>
      </c>
    </row>
    <row s="11239" customFormat="1" customHeight="1" ht="0">
      <c r="A53" s="1602" t="s">
        <v>173</v>
      </c>
      <c r="B53" s="1602" t="s">
        <v>174</v>
      </c>
      <c r="C53" s="1602" t="s">
        <v>175</v>
      </c>
      <c r="D53" s="1602" t="s">
        <v>176</v>
      </c>
      <c r="E53" s="2517"/>
      <c r="F53" s="2517"/>
      <c r="G53" s="2517"/>
      <c r="H53" s="2538"/>
      <c r="I53" s="2354" t="str">
        <f>U52&amp;".1"</f>
        <v>....1</v>
      </c>
      <c r="J53" s="1602"/>
      <c r="K53" s="1602"/>
      <c r="L53" s="1602"/>
      <c r="M53" s="1608" t="s">
        <v>405</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408</v>
      </c>
      <c r="Q54" s="2484"/>
      <c r="R54" s="2484">
        <v>1</v>
      </c>
      <c r="S54" s="745"/>
      <c r="T54" s="584"/>
      <c r="U54" s="1563" t="str">
        <f>$J54</f>
        <v>....1.1</v>
      </c>
      <c r="V54" s="513" t="s">
        <v>409</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410</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411</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451</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413</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414</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39"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416</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39"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253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39"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254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39"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255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97128-78CD-2DC8-A028-A0D87DB246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3" width="3.00390625" customWidth="1"/>
    <col min="17" max="17" style="12239" width="3.00390625" customWidth="1"/>
    <col min="18" max="18" style="12055" width="3.00390625" customWidth="1"/>
    <col min="19" max="19" style="12056" width="12.00390625" customWidth="1"/>
    <col min="20" max="20" style="11160" width="31.00390625" customWidth="1"/>
    <col min="21" max="21" style="11160" width="0.140625" customWidth="1"/>
    <col min="22" max="23" style="11160" width="21.7109375" hidden="1" customWidth="1"/>
    <col min="24" max="24" style="11160" width="11.7109375" hidden="1" customWidth="1"/>
    <col min="25" max="25" style="11160" width="3.7109375" hidden="1" customWidth="1"/>
    <col min="26" max="26" style="11160" width="11.7109375" hidden="1" customWidth="1"/>
    <col min="27" max="27" style="11160" width="8.57421875" hidden="1" customWidth="1"/>
    <col min="28" max="28" style="11160" width="5.421875" customWidth="1"/>
    <col min="29" max="30" style="11160" width="3.00390625" customWidth="1"/>
    <col min="31" max="31" style="11160" width="24.00390625" customWidth="1"/>
    <col min="32" max="32" style="11160" width="3.7109375" customWidth="1"/>
    <col min="33" max="34" style="11160" width="3.00390625" customWidth="1"/>
    <col min="35" max="35" style="11160" width="24.00390625" customWidth="1"/>
    <col min="36" max="36" style="11160" width="3.7109375" customWidth="1"/>
    <col min="37" max="38" style="11160" width="3.00390625" customWidth="1"/>
    <col min="39" max="39" style="11160" width="18.00390625" customWidth="1"/>
    <col min="40" max="41" style="11160" width="21.00390625" customWidth="1"/>
    <col min="42" max="42" style="11160" width="11.00390625" customWidth="1"/>
    <col min="43" max="43" style="11160" width="3.7109375" customWidth="1"/>
    <col min="44" max="44" style="11160" width="11.00390625" customWidth="1"/>
    <col min="45" max="45" style="11160" width="8.57421875" hidden="1" customWidth="1"/>
    <col min="46" max="46" style="11160" width="4.00390625" customWidth="1"/>
    <col min="47" max="47" style="11160" width="115.00390625" customWidth="1"/>
    <col min="48" max="52" style="11239" width="10.00390625" customWidth="1"/>
    <col min="53" max="53" style="1116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398</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399</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400</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401</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402</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403</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404</v>
      </c>
      <c r="AW5" s="727"/>
      <c r="AX5" s="727" t="str">
        <f>IF(T5="","",T5)</f>
        <v>Источник тепловой энергии  </v>
      </c>
      <c r="AY5" s="727"/>
      <c r="AZ5" s="727"/>
      <c r="BA5" s="1382">
        <v>0</v>
      </c>
    </row>
    <row s="11239" customFormat="1" customHeight="1" ht="0.75" hidden="1">
      <c r="A6" s="1570"/>
      <c r="B6" s="1570"/>
      <c r="C6" s="1570"/>
      <c r="D6" s="1570"/>
      <c r="E6" s="2486"/>
      <c r="F6" s="2486"/>
      <c r="G6" s="2486"/>
      <c r="H6" s="2486"/>
      <c r="I6" s="2483">
        <f>S5&amp;".1"</f>
      </c>
      <c r="J6" s="1570"/>
      <c r="K6" s="1570"/>
      <c r="L6" s="1573" t="s">
        <v>405</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39"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239"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39"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39"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39"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253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39"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254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210" customFormat="1" customHeight="1" ht="14.25" hidden="1">
      <c r="M23" s="1735"/>
      <c r="N23" s="1735"/>
      <c r="O23" s="1736" t="s">
        <v>418</v>
      </c>
      <c r="P23" s="1735"/>
      <c r="Q23" s="1737"/>
      <c r="R23" s="1737"/>
      <c r="Y23" s="1734" t="s">
        <v>420</v>
      </c>
      <c r="AA23" s="1734" t="s">
        <v>421</v>
      </c>
      <c r="AB23" s="1734" t="s">
        <v>468</v>
      </c>
      <c r="AE23" s="1734" t="s">
        <v>469</v>
      </c>
      <c r="AF23" s="1734" t="s">
        <v>468</v>
      </c>
      <c r="AI23" s="1734" t="s">
        <v>470</v>
      </c>
      <c r="AJ23" s="1734" t="s">
        <v>468</v>
      </c>
      <c r="AM23" s="1734" t="s">
        <v>471</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ООО "Рыбинская генерация"</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65"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365"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45408</v>
      </c>
      <c r="W31" s="2491"/>
      <c r="X31" s="2491"/>
      <c r="Y31" s="2491"/>
      <c r="Z31" s="2491"/>
      <c r="AA31" s="553"/>
      <c r="AB31" s="2491" t="str">
        <f>IF(TITLE_DATE_PR_CHANGE="",IF(TITLE_DATE_PR="","",TITLE_DATE_PR),TITLE_DATE_PR_CHANGE)</f>
        <v>45408</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36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04/4240</v>
      </c>
      <c r="W32" s="2478"/>
      <c r="X32" s="2478"/>
      <c r="Y32" s="2478"/>
      <c r="Z32" s="2478"/>
      <c r="AA32" s="553"/>
      <c r="AB32" s="2478" t="str">
        <f>IF(TITLE_NUMBER_PR_CHANGE="",IF(TITLE_NUMBER_PR="","",TITLE_NUMBER_PR),TITLE_NUMBER_PR_CHANGE)</f>
        <v>04/4240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36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65" customFormat="1" customHeight="1" ht="18.75">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45408</v>
      </c>
      <c r="W35" s="2491"/>
      <c r="X35" s="2491"/>
      <c r="Y35" s="2491"/>
      <c r="Z35" s="2491"/>
      <c r="AA35" s="553"/>
      <c r="AB35" s="2491" t="str">
        <f>IF(TITLE_DATE_PR_CHANGE="",IF(TITLE_DATE_PR="","",TITLE_DATE_PR),TITLE_DATE_PR_CHANGE)</f>
        <v>45408</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365" customFormat="1" customHeight="1" ht="18">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04/4240</v>
      </c>
      <c r="W36" s="2478"/>
      <c r="X36" s="2478"/>
      <c r="Y36" s="2478"/>
      <c r="Z36" s="2478"/>
      <c r="AA36" s="553"/>
      <c r="AB36" s="2478" t="str">
        <f>IF(TITLE_NUMBER_PR_CHANGE="",IF(TITLE_NUMBER_PR="","",TITLE_NUMBER_PR),TITLE_NUMBER_PR_CHANGE)</f>
        <v>04/4240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365"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302</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303</v>
      </c>
      <c r="BA39" s="1382">
        <v>14</v>
      </c>
    </row>
    <row customHeight="1" ht="14.699999999999998">
      <c r="Q40" s="518"/>
      <c r="R40" s="603"/>
      <c r="S40" s="2500" t="s">
        <v>87</v>
      </c>
      <c r="T40" s="2436" t="s">
        <v>472</v>
      </c>
      <c r="U40" s="528"/>
      <c r="V40" s="2502"/>
      <c r="W40" s="2502"/>
      <c r="X40" s="2502"/>
      <c r="Y40" s="2502"/>
      <c r="Z40" s="2503"/>
      <c r="AA40" s="2563" t="s">
        <v>430</v>
      </c>
      <c r="AB40" s="2555" t="s">
        <v>473</v>
      </c>
      <c r="AC40" s="2518"/>
      <c r="AD40" s="2518"/>
      <c r="AE40" s="2556"/>
      <c r="AF40" s="2518" t="s">
        <v>474</v>
      </c>
      <c r="AG40" s="2518"/>
      <c r="AH40" s="2518"/>
      <c r="AI40" s="2556"/>
      <c r="AJ40" s="2555" t="s">
        <v>475</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476</v>
      </c>
      <c r="W41" s="2354"/>
      <c r="X41" s="2521" t="s">
        <v>436</v>
      </c>
      <c r="Y41" s="2540"/>
      <c r="Z41" s="2541"/>
      <c r="AA41" s="2564"/>
      <c r="AB41" s="2557"/>
      <c r="AC41" s="2558"/>
      <c r="AD41" s="2558"/>
      <c r="AE41" s="2559"/>
      <c r="AF41" s="2558"/>
      <c r="AG41" s="2558"/>
      <c r="AH41" s="2558"/>
      <c r="AI41" s="2559"/>
      <c r="AJ41" s="2557"/>
      <c r="AK41" s="2558"/>
      <c r="AL41" s="2558"/>
      <c r="AM41" s="2558"/>
      <c r="AN41" s="2354" t="s">
        <v>476</v>
      </c>
      <c r="AO41" s="2354"/>
      <c r="AP41" s="2540" t="s">
        <v>436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437</v>
      </c>
      <c r="F43" s="1591" t="s">
        <v>438</v>
      </c>
      <c r="G43" s="1591" t="s">
        <v>439</v>
      </c>
      <c r="H43" s="1591" t="s">
        <v>440</v>
      </c>
      <c r="I43" s="1591" t="s">
        <v>441</v>
      </c>
      <c r="J43" s="1591" t="s">
        <v>442</v>
      </c>
      <c r="K43" s="1591" t="s">
        <v>443</v>
      </c>
      <c r="L43" s="1591" t="s">
        <v>418</v>
      </c>
      <c r="Q43" s="518"/>
      <c r="R43" s="603"/>
      <c r="S43" s="2500"/>
      <c r="T43" s="2436"/>
      <c r="U43" s="529"/>
      <c r="V43" s="1557" t="s">
        <v>477</v>
      </c>
      <c r="W43" s="1557" t="s">
        <v>478</v>
      </c>
      <c r="X43" s="1565" t="s">
        <v>446</v>
      </c>
      <c r="Y43" s="2497" t="s">
        <v>447</v>
      </c>
      <c r="Z43" s="2498"/>
      <c r="AA43" s="2565"/>
      <c r="AB43" s="2560"/>
      <c r="AC43" s="2561"/>
      <c r="AD43" s="2561"/>
      <c r="AE43" s="2562"/>
      <c r="AF43" s="2561"/>
      <c r="AG43" s="2561"/>
      <c r="AH43" s="2561"/>
      <c r="AI43" s="2562"/>
      <c r="AJ43" s="2560"/>
      <c r="AK43" s="2561"/>
      <c r="AL43" s="2561"/>
      <c r="AM43" s="2562"/>
      <c r="AN43" s="2087" t="s">
        <v>477</v>
      </c>
      <c r="AO43" s="2087" t="s">
        <v>478</v>
      </c>
      <c r="AP43" s="1565" t="s">
        <v>446</v>
      </c>
      <c r="AQ43" s="2497" t="s">
        <v>447</v>
      </c>
      <c r="AR43" s="2498"/>
      <c r="AS43" s="2506"/>
      <c r="AT43" s="2509"/>
      <c r="AU43" s="2354"/>
      <c r="BA43" s="1382">
        <v>14</v>
      </c>
    </row>
    <row s="1180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197</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197</v>
      </c>
      <c r="B46" s="1590" t="s">
        <v>198</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399</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400</v>
      </c>
      <c r="AW46" s="727"/>
      <c r="AX46" s="727" t="str">
        <f>IF(T46="","",T46)</f>
        <v>Территория действия тарифа</v>
      </c>
      <c r="AY46" s="727"/>
      <c r="AZ46" s="727"/>
      <c r="BA46" s="1382">
        <v>21</v>
      </c>
    </row>
    <row customHeight="1" ht="24">
      <c r="A47" s="1590" t="s">
        <v>197</v>
      </c>
      <c r="B47" s="1590" t="s">
        <v>198</v>
      </c>
      <c r="C47" s="1590" t="s">
        <v>199</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401</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402</v>
      </c>
      <c r="AW47" s="727"/>
      <c r="AX47" s="727" t="str">
        <f>IF(T47="","",T47)</f>
        <v>Наименование системы теплоснабжения </v>
      </c>
      <c r="AY47" s="727"/>
      <c r="AZ47" s="727"/>
      <c r="BA47" s="1382">
        <v>23</v>
      </c>
    </row>
    <row customHeight="1" ht="21">
      <c r="A48" s="1590" t="s">
        <v>197</v>
      </c>
      <c r="B48" s="1590" t="s">
        <v>198</v>
      </c>
      <c r="C48" s="1590" t="s">
        <v>199</v>
      </c>
      <c r="D48" s="1590" t="s">
        <v>200</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403</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404</v>
      </c>
      <c r="AW48" s="727"/>
      <c r="AX48" s="727" t="str">
        <f>IF(T48="","",T48)</f>
        <v>Источник тепловой энергии  </v>
      </c>
      <c r="AY48" s="727"/>
      <c r="AZ48" s="727"/>
      <c r="BA48" s="1382">
        <v>20</v>
      </c>
    </row>
    <row s="11239" customFormat="1" customHeight="1" ht="1.05">
      <c r="A49" s="1570" t="s">
        <v>197</v>
      </c>
      <c r="B49" s="1570" t="s">
        <v>198</v>
      </c>
      <c r="C49" s="1570" t="s">
        <v>199</v>
      </c>
      <c r="D49" s="1570" t="s">
        <v>200</v>
      </c>
      <c r="E49" s="2486"/>
      <c r="F49" s="2486"/>
      <c r="G49" s="2486"/>
      <c r="H49" s="2486"/>
      <c r="I49" s="2483" t="str">
        <f>S48&amp;".1"</f>
        <v>....1</v>
      </c>
      <c r="J49" s="1570"/>
      <c r="K49" s="1570"/>
      <c r="L49" s="1573" t="s">
        <v>405</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39" customFormat="1" customHeight="1" ht="1.05">
      <c r="A50" s="1570" t="s">
        <v>197</v>
      </c>
      <c r="B50" s="1570" t="s">
        <v>198</v>
      </c>
      <c r="C50" s="1570" t="s">
        <v>199</v>
      </c>
      <c r="D50" s="1570" t="s">
        <v>200</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197</v>
      </c>
      <c r="B51" s="1590" t="s">
        <v>198</v>
      </c>
      <c r="C51" s="1590" t="s">
        <v>199</v>
      </c>
      <c r="D51" s="1590" t="s">
        <v>200</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65</v>
      </c>
      <c r="AR51" s="1961"/>
      <c r="AS51" s="1686" t="s">
        <v>65</v>
      </c>
      <c r="AT51" s="1575"/>
      <c r="AU51" s="2480" t="s">
        <v>479</v>
      </c>
      <c r="AV51" s="738">
        <f>STRCHECKDATE(V54:AT54)</f>
      </c>
      <c r="AW51" s="727"/>
      <c r="AX51" s="727" t="str">
        <f>IF(T51="","",T51)</f>
        <v/>
      </c>
      <c r="AY51" s="727"/>
      <c r="AZ51" s="727"/>
      <c r="BA51" s="1382">
        <v>21</v>
      </c>
    </row>
    <row customHeight="1" ht="11.549999999999999">
      <c r="A52" s="1590" t="s">
        <v>197</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197</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197</v>
      </c>
      <c r="B54" s="1590" t="s">
        <v>198</v>
      </c>
      <c r="C54" s="1590" t="s">
        <v>199</v>
      </c>
      <c r="D54" s="1590" t="s">
        <v>200</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197</v>
      </c>
      <c r="B55" s="1590" t="s">
        <v>198</v>
      </c>
      <c r="C55" s="1590" t="s">
        <v>199</v>
      </c>
      <c r="D55" s="1590" t="s">
        <v>200</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239" customFormat="1" customHeight="1" ht="1.05">
      <c r="A56" s="1570" t="s">
        <v>197</v>
      </c>
      <c r="B56" s="1570" t="s">
        <v>198</v>
      </c>
      <c r="C56" s="1570" t="s">
        <v>199</v>
      </c>
      <c r="D56" s="1570" t="s">
        <v>200</v>
      </c>
      <c r="E56" s="2486"/>
      <c r="F56" s="2486"/>
      <c r="G56" s="2486"/>
      <c r="H56" s="2486"/>
      <c r="I56" s="2483"/>
      <c r="J56" s="1570"/>
      <c r="K56" s="1570"/>
      <c r="L56" s="1573"/>
      <c r="M56" s="737"/>
      <c r="N56" s="737"/>
      <c r="O56" s="737"/>
      <c r="P56" s="2484"/>
      <c r="Q56" s="1558"/>
      <c r="R56" s="583"/>
      <c r="S56" s="1613"/>
      <c r="T56" s="1614" t="s">
        <v>414</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808" customFormat="1" customHeight="1" ht="1.05">
      <c r="A57" s="1570" t="s">
        <v>197</v>
      </c>
      <c r="B57" s="1570" t="s">
        <v>198</v>
      </c>
      <c r="C57" s="1570" t="s">
        <v>199</v>
      </c>
      <c r="D57" s="1570" t="s">
        <v>200</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39" customFormat="1" customHeight="1" ht="1.05">
      <c r="A58" s="1570" t="s">
        <v>197</v>
      </c>
      <c r="B58" s="1570" t="s">
        <v>198</v>
      </c>
      <c r="C58" s="1570" t="s">
        <v>199</v>
      </c>
      <c r="D58" s="1541"/>
      <c r="E58" s="2486"/>
      <c r="F58" s="2486"/>
      <c r="G58" s="2485"/>
      <c r="H58" s="1541"/>
      <c r="I58" s="1541"/>
      <c r="J58" s="1541"/>
      <c r="K58" s="1541"/>
      <c r="L58" s="1566"/>
      <c r="M58" s="1542"/>
      <c r="N58" s="1542"/>
      <c r="P58" s="1543"/>
      <c r="Q58" s="1544"/>
      <c r="R58" s="1543"/>
      <c r="S58" s="1549"/>
      <c r="T58" s="1552" t="s">
        <v>416</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39" customFormat="1" customHeight="1" ht="1.05">
      <c r="A59" s="1570" t="s">
        <v>197</v>
      </c>
      <c r="B59" s="1570" t="s">
        <v>198</v>
      </c>
      <c r="C59" s="1541"/>
      <c r="D59" s="1541"/>
      <c r="E59" s="2486"/>
      <c r="F59" s="2485"/>
      <c r="G59" s="1541"/>
      <c r="H59" s="1541"/>
      <c r="I59" s="1541"/>
      <c r="J59" s="1541"/>
      <c r="K59" s="1541"/>
      <c r="L59" s="1566"/>
      <c r="M59" s="1548"/>
      <c r="N59" s="1548"/>
      <c r="P59" s="1543"/>
      <c r="Q59" s="1544"/>
      <c r="R59" s="1543"/>
      <c r="S59" s="1549"/>
      <c r="T59" s="1552" t="s">
        <v>253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39" customFormat="1" customHeight="1" ht="1.05">
      <c r="A60" s="1570" t="s">
        <v>197</v>
      </c>
      <c r="B60" s="1570"/>
      <c r="C60" s="1570"/>
      <c r="D60" s="1570"/>
      <c r="E60" s="2486"/>
      <c r="F60" s="1570"/>
      <c r="G60" s="1570"/>
      <c r="H60" s="1570"/>
      <c r="I60" s="1570"/>
      <c r="J60" s="1570"/>
      <c r="K60" s="1570"/>
      <c r="L60" s="1573"/>
      <c r="M60" s="1548"/>
      <c r="N60" s="1548"/>
      <c r="O60" s="745"/>
      <c r="P60" s="607"/>
      <c r="Q60" s="1571"/>
      <c r="R60" s="607"/>
      <c r="S60" s="1549"/>
      <c r="T60" s="1552" t="s">
        <v>254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39" customFormat="1" customHeight="1" ht="1.05">
      <c r="A61" s="1570" t="s">
        <v>197</v>
      </c>
      <c r="B61" s="1570"/>
      <c r="C61" s="1570"/>
      <c r="D61" s="1570"/>
      <c r="E61" s="2485"/>
      <c r="F61" s="1570"/>
      <c r="G61" s="1570"/>
      <c r="H61" s="1570"/>
      <c r="I61" s="1570"/>
      <c r="J61" s="1570"/>
      <c r="K61" s="1570"/>
      <c r="L61" s="1573"/>
      <c r="M61" s="1548"/>
      <c r="N61" s="1548"/>
      <c r="O61" s="745"/>
      <c r="P61" s="607"/>
      <c r="Q61" s="1571"/>
      <c r="R61" s="607"/>
      <c r="S61" s="1549"/>
      <c r="T61" s="1552" t="s">
        <v>254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39"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255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8A948-155A-8B3F-61A8-42A605A71D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4" style="11160" width="24.7109375" hidden="1" customWidth="1"/>
    <col min="25" max="25" style="11160" width="11.7109375" hidden="1" customWidth="1"/>
    <col min="26" max="26" style="11160" width="3.7109375" hidden="1" customWidth="1"/>
    <col min="27" max="27" style="11160" width="11.7109375" hidden="1" customWidth="1"/>
    <col min="28" max="28" style="11160" width="8.57421875" hidden="1" customWidth="1"/>
    <col min="29" max="29" style="11160" width="24.7109375" customWidth="1"/>
    <col min="30" max="31" style="11160" width="24.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52">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39"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38"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38" customFormat="1" customHeight="1" ht="14.25" hidden="1">
      <c r="L19" s="1648"/>
      <c r="M19" s="1589"/>
      <c r="N19" s="1589"/>
      <c r="O19" s="1589"/>
      <c r="P19" s="1589"/>
      <c r="Q19" s="1598"/>
      <c r="R19" s="1598"/>
      <c r="S19" s="956"/>
      <c r="AB19" s="1593"/>
      <c r="AI19" s="1593"/>
      <c r="AL19" s="738"/>
      <c r="AM19" s="738"/>
      <c r="AN19" s="738"/>
      <c r="AO19" s="738"/>
      <c r="AP19" s="738"/>
      <c r="AQ19" s="1387">
        <v>0</v>
      </c>
    </row>
    <row s="11238"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553"/>
      <c r="AC29" s="2478" t="str">
        <f>IF(TITLE_NUMBER_PR_CHANGE="",IF(TITLE_NUMBER_PR="","",TITLE_NUMBER_PR),TITLE_NUMBER_PR_CHANGE)</f>
        <v>04/4240</v>
      </c>
      <c r="AD29" s="2478"/>
      <c r="AE29" s="2478"/>
      <c r="AF29" s="2478"/>
      <c r="AG29" s="2478"/>
      <c r="AH29" s="2478"/>
      <c r="AI29" s="553"/>
      <c r="AJ29" s="553"/>
      <c r="AK29" s="507"/>
      <c r="AL29" s="595"/>
      <c r="AM29" s="595"/>
      <c r="AN29" s="595"/>
      <c r="AO29" s="595"/>
      <c r="AP29" s="595"/>
      <c r="AQ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553"/>
      <c r="AC33" s="2478" t="str">
        <f>IF(TITLE_NUMBER_PR_CHANGE="",IF(TITLE_NUMBER_PR="","",TITLE_NUMBER_PR),TITLE_NUMBER_PR_CHANGE)</f>
        <v>04/4240</v>
      </c>
      <c r="AD33" s="2478"/>
      <c r="AE33" s="2478"/>
      <c r="AF33" s="2478"/>
      <c r="AG33" s="2478"/>
      <c r="AH33" s="2478"/>
      <c r="AI33" s="553"/>
      <c r="AJ33" s="553"/>
      <c r="AK33" s="507"/>
      <c r="AL33" s="595"/>
      <c r="AM33" s="595"/>
      <c r="AN33" s="595"/>
      <c r="AO33" s="595"/>
      <c r="AP33" s="595"/>
      <c r="AQ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579" t="s">
        <v>488</v>
      </c>
      <c r="W38" s="2489" t="s">
        <v>435</v>
      </c>
      <c r="X38" s="2490"/>
      <c r="Y38" s="2489" t="s">
        <v>436</v>
      </c>
      <c r="Z38" s="2496"/>
      <c r="AA38" s="2490"/>
      <c r="AB38" s="2505"/>
      <c r="AC38" s="15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579" t="s">
        <v>491</v>
      </c>
      <c r="W39" s="1449" t="s">
        <v>492</v>
      </c>
      <c r="X39" s="1449" t="s">
        <v>493</v>
      </c>
      <c r="Y39" s="1584" t="s">
        <v>446</v>
      </c>
      <c r="Z39" s="2497" t="s">
        <v>447</v>
      </c>
      <c r="AA39" s="2498"/>
      <c r="AB39" s="2506"/>
      <c r="AC39" s="1579" t="s">
        <v>491</v>
      </c>
      <c r="AD39" s="1449" t="s">
        <v>492</v>
      </c>
      <c r="AE39" s="1449" t="s">
        <v>493</v>
      </c>
      <c r="AF39" s="1584" t="s">
        <v>446</v>
      </c>
      <c r="AG39" s="2497" t="s">
        <v>447</v>
      </c>
      <c r="AH39" s="2498"/>
      <c r="AI39" s="2506"/>
      <c r="AJ39" s="2509"/>
      <c r="AK39" s="2354"/>
      <c r="AQ39" s="1382">
        <v>34</v>
      </c>
    </row>
    <row s="1180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223</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223</v>
      </c>
      <c r="B42" s="1590" t="s">
        <v>224</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223</v>
      </c>
      <c r="B43" s="1590" t="s">
        <v>224</v>
      </c>
      <c r="C43" s="1590" t="s">
        <v>225</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223</v>
      </c>
      <c r="B44" s="1590" t="s">
        <v>224</v>
      </c>
      <c r="C44" s="1590" t="s">
        <v>225</v>
      </c>
      <c r="D44" s="1590" t="s">
        <v>494</v>
      </c>
      <c r="E44" s="2486"/>
      <c r="F44" s="2486"/>
      <c r="G44" s="2486"/>
      <c r="H44" s="2486"/>
      <c r="I44" s="2483" t="str">
        <f>S43&amp;".1"</f>
        <v>...1</v>
      </c>
      <c r="J44" s="1590"/>
      <c r="K44" s="1590"/>
      <c r="L44" s="1591"/>
      <c r="P44" s="2484">
        <v>1</v>
      </c>
      <c r="Q44" s="1581"/>
      <c r="R44" s="583"/>
      <c r="S44" s="1585"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223</v>
      </c>
      <c r="B45" s="1590" t="s">
        <v>224</v>
      </c>
      <c r="C45" s="1590" t="s">
        <v>225</v>
      </c>
      <c r="D45" s="1590" t="s">
        <v>494</v>
      </c>
      <c r="E45" s="2486"/>
      <c r="F45" s="2486"/>
      <c r="G45" s="2486"/>
      <c r="H45" s="2486"/>
      <c r="I45" s="2513"/>
      <c r="J45" s="2483" t="str">
        <f>I44&amp;".1"</f>
        <v>...1.1</v>
      </c>
      <c r="K45" s="1590"/>
      <c r="L45" s="1591" t="s">
        <v>408</v>
      </c>
      <c r="P45" s="2484"/>
      <c r="Q45" s="2484">
        <v>1</v>
      </c>
      <c r="R45" s="584"/>
      <c r="S45" s="1585"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223</v>
      </c>
      <c r="B46" s="1590" t="s">
        <v>224</v>
      </c>
      <c r="C46" s="1590" t="s">
        <v>225</v>
      </c>
      <c r="D46" s="1590" t="s">
        <v>494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223</v>
      </c>
      <c r="B47" s="1590" t="s">
        <v>224</v>
      </c>
      <c r="C47" s="1590" t="s">
        <v>225</v>
      </c>
      <c r="D47" s="1590" t="s">
        <v>494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223</v>
      </c>
      <c r="B48" s="1590" t="s">
        <v>224</v>
      </c>
      <c r="C48" s="1590" t="s">
        <v>225</v>
      </c>
      <c r="D48" s="1590" t="s">
        <v>494</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223</v>
      </c>
      <c r="B49" s="1590" t="s">
        <v>224</v>
      </c>
      <c r="C49" s="1590" t="s">
        <v>225</v>
      </c>
      <c r="D49" s="1590" t="s">
        <v>494</v>
      </c>
      <c r="E49" s="2486"/>
      <c r="F49" s="2486"/>
      <c r="G49" s="2486"/>
      <c r="H49" s="2486"/>
      <c r="I49" s="2483"/>
      <c r="J49" s="1590"/>
      <c r="K49" s="1590"/>
      <c r="L49" s="1591"/>
      <c r="P49" s="2484"/>
      <c r="Q49" s="1581"/>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223</v>
      </c>
      <c r="B50" s="1590" t="s">
        <v>224</v>
      </c>
      <c r="C50" s="1590" t="s">
        <v>225</v>
      </c>
      <c r="D50" s="1590" t="s">
        <v>494</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39" customFormat="1" customHeight="1" ht="0">
      <c r="A51" s="1570" t="s">
        <v>223</v>
      </c>
      <c r="B51" s="1570" t="s">
        <v>224</v>
      </c>
      <c r="C51" s="1541"/>
      <c r="D51" s="1541"/>
      <c r="E51" s="2486"/>
      <c r="F51" s="2485"/>
      <c r="G51" s="1541"/>
      <c r="H51" s="1541"/>
      <c r="I51" s="1541"/>
      <c r="J51" s="1541"/>
      <c r="K51" s="1541"/>
      <c r="L51" s="1653"/>
      <c r="M51" s="1548"/>
      <c r="N51" s="1548"/>
      <c r="P51" s="1543"/>
      <c r="Q51" s="1544"/>
      <c r="R51" s="1543"/>
      <c r="S51" s="1549"/>
      <c r="T51" s="1552" t="s">
        <v>253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39" customFormat="1" customHeight="1" ht="0">
      <c r="A52" s="1570" t="s">
        <v>223</v>
      </c>
      <c r="B52" s="1570"/>
      <c r="C52" s="1570"/>
      <c r="D52" s="1570"/>
      <c r="E52" s="2485"/>
      <c r="F52" s="1570"/>
      <c r="G52" s="1570"/>
      <c r="H52" s="1570"/>
      <c r="I52" s="1570"/>
      <c r="J52" s="1570"/>
      <c r="K52" s="1570"/>
      <c r="L52" s="1573"/>
      <c r="M52" s="1548"/>
      <c r="N52" s="1548"/>
      <c r="O52" s="745"/>
      <c r="P52" s="607"/>
      <c r="Q52" s="1571"/>
      <c r="R52" s="607"/>
      <c r="S52" s="1549"/>
      <c r="T52" s="1552" t="s">
        <v>254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39"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67B8-6D48-AE5B-5B18-46478F383D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4" style="11160" width="24.7109375" hidden="1" customWidth="1"/>
    <col min="25" max="25" style="11160" width="11.7109375" hidden="1" customWidth="1"/>
    <col min="26" max="26" style="11160" width="3.7109375" hidden="1" customWidth="1"/>
    <col min="27" max="27" style="11160" width="11.7109375" hidden="1" customWidth="1"/>
    <col min="28" max="28" style="11160" width="8.57421875" hidden="1" customWidth="1"/>
    <col min="29" max="29" style="11160" width="24.7109375" customWidth="1"/>
    <col min="30" max="31" style="11160" width="24.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3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38"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38" customFormat="1" customHeight="1" ht="14.25" hidden="1">
      <c r="L19" s="1674"/>
      <c r="M19" s="1589"/>
      <c r="N19" s="1589"/>
      <c r="O19" s="1589"/>
      <c r="P19" s="1589"/>
      <c r="Q19" s="1598"/>
      <c r="R19" s="1598"/>
      <c r="S19" s="956"/>
      <c r="AB19" s="1593"/>
      <c r="AI19" s="1593"/>
      <c r="AL19" s="738"/>
      <c r="AM19" s="738"/>
      <c r="AN19" s="738"/>
      <c r="AO19" s="738"/>
      <c r="AP19" s="738"/>
      <c r="AQ19" s="1387">
        <v>0</v>
      </c>
    </row>
    <row s="11238"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553"/>
      <c r="AC29" s="2478" t="str">
        <f>IF(TITLE_NUMBER_PR_CHANGE="",IF(TITLE_NUMBER_PR="","",TITLE_NUMBER_PR),TITLE_NUMBER_PR_CHANGE)</f>
        <v>04/4240</v>
      </c>
      <c r="AD29" s="2478"/>
      <c r="AE29" s="2478"/>
      <c r="AF29" s="2478"/>
      <c r="AG29" s="2478"/>
      <c r="AH29" s="2478"/>
      <c r="AI29" s="553"/>
      <c r="AJ29" s="553"/>
      <c r="AK29" s="507"/>
      <c r="AL29" s="595"/>
      <c r="AM29" s="595"/>
      <c r="AN29" s="595"/>
      <c r="AO29" s="595"/>
      <c r="AP29" s="595"/>
      <c r="AQ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553"/>
      <c r="AC33" s="2478" t="str">
        <f>IF(TITLE_NUMBER_PR_CHANGE="",IF(TITLE_NUMBER_PR="","",TITLE_NUMBER_PR),TITLE_NUMBER_PR_CHANGE)</f>
        <v>04/4240</v>
      </c>
      <c r="AD33" s="2478"/>
      <c r="AE33" s="2478"/>
      <c r="AF33" s="2478"/>
      <c r="AG33" s="2478"/>
      <c r="AH33" s="2478"/>
      <c r="AI33" s="553"/>
      <c r="AJ33" s="553"/>
      <c r="AK33" s="507"/>
      <c r="AL33" s="595"/>
      <c r="AM33" s="595"/>
      <c r="AN33" s="595"/>
      <c r="AO33" s="595"/>
      <c r="AP33" s="595"/>
      <c r="AQ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228</v>
      </c>
      <c r="B42" s="1590" t="s">
        <v>229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228</v>
      </c>
      <c r="B43" s="1590" t="s">
        <v>229</v>
      </c>
      <c r="C43" s="1590" t="s">
        <v>230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228</v>
      </c>
      <c r="B44" s="1590" t="s">
        <v>229</v>
      </c>
      <c r="C44" s="1590" t="s">
        <v>230</v>
      </c>
      <c r="D44" s="1590" t="s">
        <v>495</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228</v>
      </c>
      <c r="B45" s="1590" t="s">
        <v>229</v>
      </c>
      <c r="C45" s="1590" t="s">
        <v>230</v>
      </c>
      <c r="D45" s="1590" t="s">
        <v>495</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228</v>
      </c>
      <c r="B46" s="1590" t="s">
        <v>229</v>
      </c>
      <c r="C46" s="1590" t="s">
        <v>230</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228</v>
      </c>
      <c r="B47" s="1590" t="s">
        <v>229</v>
      </c>
      <c r="C47" s="1590" t="s">
        <v>230</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228</v>
      </c>
      <c r="B48" s="1590" t="s">
        <v>229</v>
      </c>
      <c r="C48" s="1590" t="s">
        <v>230</v>
      </c>
      <c r="D48" s="1590" t="s">
        <v>495</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228</v>
      </c>
      <c r="B49" s="1590" t="s">
        <v>229</v>
      </c>
      <c r="C49" s="1590" t="s">
        <v>230</v>
      </c>
      <c r="D49" s="1590" t="s">
        <v>495</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228</v>
      </c>
      <c r="B50" s="1590" t="s">
        <v>229</v>
      </c>
      <c r="C50" s="1590" t="s">
        <v>230</v>
      </c>
      <c r="D50" s="1590" t="s">
        <v>495</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39" customFormat="1" customHeight="1" ht="0">
      <c r="A51" s="1570" t="s">
        <v>228</v>
      </c>
      <c r="B51" s="1570" t="s">
        <v>229</v>
      </c>
      <c r="C51" s="1541"/>
      <c r="D51" s="1541"/>
      <c r="E51" s="2486"/>
      <c r="F51" s="2485"/>
      <c r="G51" s="1541"/>
      <c r="H51" s="1541"/>
      <c r="I51" s="1541"/>
      <c r="J51" s="1541"/>
      <c r="K51" s="1541"/>
      <c r="L51" s="1685"/>
      <c r="M51" s="1548"/>
      <c r="N51" s="1548"/>
      <c r="P51" s="1543"/>
      <c r="Q51" s="1544"/>
      <c r="R51" s="1543"/>
      <c r="S51" s="1549"/>
      <c r="T51" s="1552" t="s">
        <v>253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39" customFormat="1" customHeight="1" ht="0">
      <c r="A52" s="1570" t="s">
        <v>228</v>
      </c>
      <c r="B52" s="1570"/>
      <c r="C52" s="1570"/>
      <c r="D52" s="1570"/>
      <c r="E52" s="2485"/>
      <c r="F52" s="1570"/>
      <c r="G52" s="1570"/>
      <c r="H52" s="1570"/>
      <c r="I52" s="1570"/>
      <c r="J52" s="1570"/>
      <c r="K52" s="1570"/>
      <c r="L52" s="1573"/>
      <c r="M52" s="1548"/>
      <c r="N52" s="1548"/>
      <c r="O52" s="745"/>
      <c r="P52" s="607"/>
      <c r="Q52" s="1571"/>
      <c r="R52" s="607"/>
      <c r="S52" s="1549"/>
      <c r="T52" s="1552" t="s">
        <v>254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3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3D1EA-9CE8-15D8-39CC-98AB821CE7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4" style="11160" width="24.7109375" hidden="1" customWidth="1"/>
    <col min="25" max="25" style="11160" width="11.7109375" hidden="1" customWidth="1"/>
    <col min="26" max="26" style="11160" width="3.7109375" hidden="1" customWidth="1"/>
    <col min="27" max="27" style="11160" width="11.7109375" hidden="1" customWidth="1"/>
    <col min="28" max="28" style="11160" width="8.57421875" hidden="1" customWidth="1"/>
    <col min="29" max="29" style="11160" width="24.7109375" customWidth="1"/>
    <col min="30" max="31" style="11160" width="24.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3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38"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38" customFormat="1" customHeight="1" ht="14.25" hidden="1">
      <c r="L19" s="1674"/>
      <c r="M19" s="1589"/>
      <c r="N19" s="1589"/>
      <c r="O19" s="1589"/>
      <c r="P19" s="1589"/>
      <c r="Q19" s="1598"/>
      <c r="R19" s="1598"/>
      <c r="S19" s="956"/>
      <c r="AB19" s="1593"/>
      <c r="AI19" s="1593"/>
      <c r="AL19" s="738"/>
      <c r="AM19" s="738"/>
      <c r="AN19" s="738"/>
      <c r="AO19" s="738"/>
      <c r="AP19" s="738"/>
      <c r="AQ19" s="1387">
        <v>0</v>
      </c>
    </row>
    <row s="11238"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553"/>
      <c r="AC29" s="2478" t="str">
        <f>IF(TITLE_NUMBER_PR_CHANGE="",IF(TITLE_NUMBER_PR="","",TITLE_NUMBER_PR),TITLE_NUMBER_PR_CHANGE)</f>
        <v>04/4240</v>
      </c>
      <c r="AD29" s="2478"/>
      <c r="AE29" s="2478"/>
      <c r="AF29" s="2478"/>
      <c r="AG29" s="2478"/>
      <c r="AH29" s="2478"/>
      <c r="AI29" s="553"/>
      <c r="AJ29" s="553"/>
      <c r="AK29" s="507"/>
      <c r="AL29" s="595"/>
      <c r="AM29" s="595"/>
      <c r="AN29" s="595"/>
      <c r="AO29" s="595"/>
      <c r="AP29" s="595"/>
      <c r="AQ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553"/>
      <c r="AC33" s="2478" t="str">
        <f>IF(TITLE_NUMBER_PR_CHANGE="",IF(TITLE_NUMBER_PR="","",TITLE_NUMBER_PR),TITLE_NUMBER_PR_CHANGE)</f>
        <v>04/4240</v>
      </c>
      <c r="AD33" s="2478"/>
      <c r="AE33" s="2478"/>
      <c r="AF33" s="2478"/>
      <c r="AG33" s="2478"/>
      <c r="AH33" s="2478"/>
      <c r="AI33" s="553"/>
      <c r="AJ33" s="553"/>
      <c r="AK33" s="507"/>
      <c r="AL33" s="595"/>
      <c r="AM33" s="595"/>
      <c r="AN33" s="595"/>
      <c r="AO33" s="595"/>
      <c r="AP33" s="595"/>
      <c r="AQ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233</v>
      </c>
      <c r="B42" s="1590" t="s">
        <v>234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233</v>
      </c>
      <c r="B43" s="1590" t="s">
        <v>234</v>
      </c>
      <c r="C43" s="1590" t="s">
        <v>235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233</v>
      </c>
      <c r="B44" s="1590" t="s">
        <v>234</v>
      </c>
      <c r="C44" s="1590" t="s">
        <v>235</v>
      </c>
      <c r="D44" s="1590" t="s">
        <v>496</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233</v>
      </c>
      <c r="B45" s="1590" t="s">
        <v>234</v>
      </c>
      <c r="C45" s="1590" t="s">
        <v>235</v>
      </c>
      <c r="D45" s="1590" t="s">
        <v>496</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233</v>
      </c>
      <c r="B46" s="1590" t="s">
        <v>234</v>
      </c>
      <c r="C46" s="1590" t="s">
        <v>235</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233</v>
      </c>
      <c r="B47" s="1590" t="s">
        <v>234</v>
      </c>
      <c r="C47" s="1590" t="s">
        <v>235</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233</v>
      </c>
      <c r="B48" s="1590" t="s">
        <v>234</v>
      </c>
      <c r="C48" s="1590" t="s">
        <v>235</v>
      </c>
      <c r="D48" s="1590" t="s">
        <v>496</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233</v>
      </c>
      <c r="B49" s="1590" t="s">
        <v>234</v>
      </c>
      <c r="C49" s="1590" t="s">
        <v>235</v>
      </c>
      <c r="D49" s="1590" t="s">
        <v>496</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233</v>
      </c>
      <c r="B50" s="1590" t="s">
        <v>234</v>
      </c>
      <c r="C50" s="1590" t="s">
        <v>235</v>
      </c>
      <c r="D50" s="1590" t="s">
        <v>496</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39" customFormat="1" customHeight="1" ht="0">
      <c r="A51" s="1570" t="s">
        <v>233</v>
      </c>
      <c r="B51" s="1570" t="s">
        <v>234</v>
      </c>
      <c r="C51" s="1541"/>
      <c r="D51" s="1541"/>
      <c r="E51" s="2486"/>
      <c r="F51" s="2485"/>
      <c r="G51" s="1541"/>
      <c r="H51" s="1541"/>
      <c r="I51" s="1541"/>
      <c r="J51" s="1541"/>
      <c r="K51" s="1541"/>
      <c r="L51" s="1685"/>
      <c r="M51" s="1548"/>
      <c r="N51" s="1548"/>
      <c r="P51" s="1543"/>
      <c r="Q51" s="1544"/>
      <c r="R51" s="1543"/>
      <c r="S51" s="1549"/>
      <c r="T51" s="1552" t="s">
        <v>253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39" customFormat="1" customHeight="1" ht="0">
      <c r="A52" s="1570" t="s">
        <v>233</v>
      </c>
      <c r="B52" s="1570"/>
      <c r="C52" s="1570"/>
      <c r="D52" s="1570"/>
      <c r="E52" s="2485"/>
      <c r="F52" s="1570"/>
      <c r="G52" s="1570"/>
      <c r="H52" s="1570"/>
      <c r="I52" s="1570"/>
      <c r="J52" s="1570"/>
      <c r="K52" s="1570"/>
      <c r="L52" s="1573"/>
      <c r="M52" s="1548"/>
      <c r="N52" s="1548"/>
      <c r="O52" s="745"/>
      <c r="P52" s="607"/>
      <c r="Q52" s="1571"/>
      <c r="R52" s="607"/>
      <c r="S52" s="1549"/>
      <c r="T52" s="1552" t="s">
        <v>254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3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20C6E-66C7-7898-E024-1C2CF78140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4" style="11160" width="24.7109375" hidden="1" customWidth="1"/>
    <col min="25" max="25" style="11160" width="11.7109375" hidden="1" customWidth="1"/>
    <col min="26" max="26" style="11160" width="3.7109375" hidden="1" customWidth="1"/>
    <col min="27" max="27" style="11160" width="11.7109375" hidden="1" customWidth="1"/>
    <col min="28" max="28" style="11160" width="8.57421875" hidden="1" customWidth="1"/>
    <col min="29" max="29" style="11160" width="24.7109375" customWidth="1"/>
    <col min="30" max="31" style="11160" width="24.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3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38"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38" customFormat="1" customHeight="1" ht="14.25" hidden="1">
      <c r="L19" s="1674"/>
      <c r="M19" s="1589"/>
      <c r="N19" s="1589"/>
      <c r="O19" s="1589"/>
      <c r="P19" s="1589"/>
      <c r="Q19" s="1598"/>
      <c r="R19" s="1598"/>
      <c r="S19" s="956"/>
      <c r="AB19" s="1593"/>
      <c r="AI19" s="1593"/>
      <c r="AL19" s="738"/>
      <c r="AM19" s="738"/>
      <c r="AN19" s="738"/>
      <c r="AO19" s="738"/>
      <c r="AP19" s="738"/>
      <c r="AQ19" s="1387">
        <v>0</v>
      </c>
    </row>
    <row s="11238"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553"/>
      <c r="AC29" s="2478" t="str">
        <f>IF(TITLE_NUMBER_PR_CHANGE="",IF(TITLE_NUMBER_PR="","",TITLE_NUMBER_PR),TITLE_NUMBER_PR_CHANGE)</f>
        <v>04/4240</v>
      </c>
      <c r="AD29" s="2478"/>
      <c r="AE29" s="2478"/>
      <c r="AF29" s="2478"/>
      <c r="AG29" s="2478"/>
      <c r="AH29" s="2478"/>
      <c r="AI29" s="553"/>
      <c r="AJ29" s="553"/>
      <c r="AK29" s="507"/>
      <c r="AL29" s="595"/>
      <c r="AM29" s="595"/>
      <c r="AN29" s="595"/>
      <c r="AO29" s="595"/>
      <c r="AP29" s="595"/>
      <c r="AQ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553"/>
      <c r="AC33" s="2478" t="str">
        <f>IF(TITLE_NUMBER_PR_CHANGE="",IF(TITLE_NUMBER_PR="","",TITLE_NUMBER_PR),TITLE_NUMBER_PR_CHANGE)</f>
        <v>04/4240</v>
      </c>
      <c r="AD33" s="2478"/>
      <c r="AE33" s="2478"/>
      <c r="AF33" s="2478"/>
      <c r="AG33" s="2478"/>
      <c r="AH33" s="2478"/>
      <c r="AI33" s="553"/>
      <c r="AJ33" s="553"/>
      <c r="AK33" s="507"/>
      <c r="AL33" s="595"/>
      <c r="AM33" s="595"/>
      <c r="AN33" s="595"/>
      <c r="AO33" s="595"/>
      <c r="AP33" s="595"/>
      <c r="AQ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238</v>
      </c>
      <c r="B43" s="1590" t="s">
        <v>239</v>
      </c>
      <c r="C43" s="1590" t="s">
        <v>240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497</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497</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238</v>
      </c>
      <c r="B46" s="1590" t="s">
        <v>239</v>
      </c>
      <c r="C46" s="1590" t="s">
        <v>240</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238</v>
      </c>
      <c r="B48" s="1590" t="s">
        <v>239</v>
      </c>
      <c r="C48" s="1590" t="s">
        <v>240</v>
      </c>
      <c r="D48" s="1590" t="s">
        <v>497</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497</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497</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39" customFormat="1" customHeight="1" ht="0">
      <c r="A51" s="1570" t="s">
        <v>238</v>
      </c>
      <c r="B51" s="1570" t="s">
        <v>239</v>
      </c>
      <c r="C51" s="1541"/>
      <c r="D51" s="1541"/>
      <c r="E51" s="2486"/>
      <c r="F51" s="2485"/>
      <c r="G51" s="1541"/>
      <c r="H51" s="1541"/>
      <c r="I51" s="1541"/>
      <c r="J51" s="1541"/>
      <c r="K51" s="1541"/>
      <c r="L51" s="1685"/>
      <c r="M51" s="1548"/>
      <c r="N51" s="1548"/>
      <c r="P51" s="1543"/>
      <c r="Q51" s="1544"/>
      <c r="R51" s="1543"/>
      <c r="S51" s="1549"/>
      <c r="T51" s="1552" t="s">
        <v>253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39" customFormat="1" customHeight="1" ht="0">
      <c r="A52" s="1570" t="s">
        <v>238</v>
      </c>
      <c r="B52" s="1570"/>
      <c r="C52" s="1570"/>
      <c r="D52" s="1570"/>
      <c r="E52" s="2485"/>
      <c r="F52" s="1570"/>
      <c r="G52" s="1570"/>
      <c r="H52" s="1570"/>
      <c r="I52" s="1570"/>
      <c r="J52" s="1570"/>
      <c r="K52" s="1570"/>
      <c r="L52" s="1573"/>
      <c r="M52" s="1548"/>
      <c r="N52" s="1548"/>
      <c r="O52" s="745"/>
      <c r="P52" s="607"/>
      <c r="Q52" s="1571"/>
      <c r="R52" s="607"/>
      <c r="S52" s="1549"/>
      <c r="T52" s="1552" t="s">
        <v>254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3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52155-36BD-F268-3418-DD20AFEDAAE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60" width="10.140625" hidden="1" customWidth="1"/>
    <col min="4" max="4" style="11160" width="11.8515625" hidden="1" customWidth="1"/>
    <col min="5" max="11" style="11160" width="10.140625" hidden="1" customWidth="1"/>
    <col min="12" max="12" style="11236" width="10.140625" hidden="1" customWidth="1"/>
    <col min="13" max="15" style="12054" width="10.140625" hidden="1" customWidth="1"/>
    <col min="16" max="16" style="12053" width="3.00390625" customWidth="1"/>
    <col min="17" max="17" style="12239" width="3.00390625" customWidth="1"/>
    <col min="18" max="18" style="12055" width="3.00390625" customWidth="1"/>
    <col min="19" max="19" style="12056" width="12.00390625" customWidth="1"/>
    <col min="20" max="20" style="11160" width="31.00390625" customWidth="1"/>
    <col min="21" max="21" style="11160" width="0.140625" customWidth="1"/>
    <col min="22" max="23" style="11160" width="21.7109375" hidden="1" customWidth="1"/>
    <col min="24" max="24" style="11160" width="11.7109375" hidden="1" customWidth="1"/>
    <col min="25" max="25" style="11160" width="3.7109375" hidden="1" customWidth="1"/>
    <col min="26" max="26" style="11160" width="11.7109375" hidden="1" customWidth="1"/>
    <col min="27" max="27" style="11160" width="8.57421875" hidden="1" customWidth="1"/>
    <col min="28" max="28" style="11160" width="27.00390625" customWidth="1"/>
    <col min="29" max="29" style="11160" width="24.57421875" customWidth="1"/>
    <col min="30" max="31" style="11160" width="21.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398</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399</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400</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401</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402</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403</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404</v>
      </c>
      <c r="AM5" s="1851"/>
      <c r="AN5" s="1851" t="str">
        <f>IF(T5="","",T5)</f>
        <v>Источник тепловой энергии  </v>
      </c>
      <c r="AO5" s="1851"/>
      <c r="AP5" s="1851"/>
      <c r="AQ5" s="1858">
        <v>0</v>
      </c>
    </row>
    <row s="11239" customFormat="1" customHeight="1" ht="0.75" hidden="1">
      <c r="A6" s="1602"/>
      <c r="B6" s="1602"/>
      <c r="C6" s="1602"/>
      <c r="D6" s="1602"/>
      <c r="E6" s="2517"/>
      <c r="F6" s="2517"/>
      <c r="G6" s="2517"/>
      <c r="H6" s="2517"/>
      <c r="I6" s="2354">
        <f>S5&amp;".1"</f>
      </c>
      <c r="J6" s="1602"/>
      <c r="K6" s="1602"/>
      <c r="L6" s="1608" t="s">
        <v>405</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39"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28</v>
      </c>
      <c r="AD8" s="978"/>
      <c r="AE8" s="1484"/>
      <c r="AF8" s="2182"/>
      <c r="AG8" s="2169" t="s">
        <v>65</v>
      </c>
      <c r="AH8" s="2182"/>
      <c r="AI8" s="2169" t="s">
        <v>65</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239"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39"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39"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416</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39"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253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39"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254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210"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469</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65"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365"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45408</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365"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04/4240</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365"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65"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45408</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365"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04/4240</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365"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302</v>
      </c>
      <c r="T36" s="2354"/>
      <c r="U36" s="2354"/>
      <c r="V36" s="2354"/>
      <c r="W36" s="2354"/>
      <c r="X36" s="2354"/>
      <c r="Y36" s="2354"/>
      <c r="Z36" s="2354"/>
      <c r="AA36" s="2402"/>
      <c r="AB36" s="2402"/>
      <c r="AC36" s="2402"/>
      <c r="AD36" s="2354"/>
      <c r="AE36" s="2354"/>
      <c r="AF36" s="2354"/>
      <c r="AG36" s="2354"/>
      <c r="AH36" s="2354"/>
      <c r="AI36" s="2354"/>
      <c r="AJ36" s="2354"/>
      <c r="AK36" s="2354" t="s">
        <v>303</v>
      </c>
      <c r="AQ36" s="1858">
        <v>14</v>
      </c>
    </row>
    <row customHeight="1" ht="14.699999999999998">
      <c r="Q37" s="518"/>
      <c r="R37" s="603"/>
      <c r="S37" s="2500" t="s">
        <v>87</v>
      </c>
      <c r="T37" s="2436" t="s">
        <v>498</v>
      </c>
      <c r="U37" s="564"/>
      <c r="V37" s="2502"/>
      <c r="W37" s="2502"/>
      <c r="X37" s="2502"/>
      <c r="Y37" s="2502"/>
      <c r="Z37" s="2502"/>
      <c r="AA37" s="2436" t="s">
        <v>430</v>
      </c>
      <c r="AB37" s="2435" t="s">
        <v>499</v>
      </c>
      <c r="AC37" s="2435" t="s">
        <v>473</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476</v>
      </c>
      <c r="W38" s="2354"/>
      <c r="X38" s="2521" t="s">
        <v>436</v>
      </c>
      <c r="Y38" s="2540"/>
      <c r="Z38" s="2540"/>
      <c r="AA38" s="2436"/>
      <c r="AB38" s="2435"/>
      <c r="AC38" s="2435"/>
      <c r="AD38" s="2330" t="s">
        <v>476</v>
      </c>
      <c r="AE38" s="2354"/>
      <c r="AF38" s="2540" t="s">
        <v>436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134</v>
      </c>
      <c r="C40" s="1493" t="s">
        <v>135</v>
      </c>
      <c r="D40" s="1493" t="s">
        <v>136</v>
      </c>
      <c r="E40" s="1537" t="s">
        <v>437</v>
      </c>
      <c r="F40" s="1537" t="s">
        <v>438</v>
      </c>
      <c r="G40" s="1537" t="s">
        <v>439</v>
      </c>
      <c r="H40" s="1537" t="s">
        <v>440</v>
      </c>
      <c r="I40" s="1537" t="s">
        <v>441</v>
      </c>
      <c r="J40" s="1537" t="s">
        <v>442</v>
      </c>
      <c r="K40" s="1537" t="s">
        <v>443</v>
      </c>
      <c r="L40" s="1537" t="s">
        <v>418</v>
      </c>
      <c r="Q40" s="518"/>
      <c r="R40" s="603"/>
      <c r="S40" s="2500"/>
      <c r="T40" s="2436"/>
      <c r="U40" s="529"/>
      <c r="V40" s="2177" t="s">
        <v>477</v>
      </c>
      <c r="W40" s="2177" t="s">
        <v>478</v>
      </c>
      <c r="X40" s="2165" t="s">
        <v>446</v>
      </c>
      <c r="Y40" s="2497" t="s">
        <v>447</v>
      </c>
      <c r="Z40" s="2547"/>
      <c r="AA40" s="2436"/>
      <c r="AB40" s="2435"/>
      <c r="AC40" s="2435"/>
      <c r="AD40" s="2195" t="s">
        <v>477</v>
      </c>
      <c r="AE40" s="2186" t="s">
        <v>478</v>
      </c>
      <c r="AF40" s="2165" t="s">
        <v>446</v>
      </c>
      <c r="AG40" s="2497" t="s">
        <v>447</v>
      </c>
      <c r="AH40" s="2498"/>
      <c r="AI40" s="2506"/>
      <c r="AJ40" s="2509"/>
      <c r="AK40" s="2354"/>
      <c r="AQ40" s="1858">
        <v>14</v>
      </c>
    </row>
    <row s="1180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203</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122</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203</v>
      </c>
      <c r="B43" s="1494" t="s">
        <v>204</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399</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400</v>
      </c>
      <c r="AM43" s="1851"/>
      <c r="AN43" s="1851" t="str">
        <f>IF(T43="","",T43)</f>
        <v>Территория действия тарифа</v>
      </c>
      <c r="AO43" s="1851"/>
      <c r="AP43" s="1851"/>
      <c r="AQ43" s="1858">
        <v>21</v>
      </c>
    </row>
    <row customHeight="1" ht="24">
      <c r="A44" s="1494" t="s">
        <v>203</v>
      </c>
      <c r="B44" s="1494" t="s">
        <v>204</v>
      </c>
      <c r="C44" s="1494" t="s">
        <v>205</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401</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402</v>
      </c>
      <c r="AM44" s="1851"/>
      <c r="AN44" s="1851" t="str">
        <f>IF(T44="","",T44)</f>
        <v>Наименование системы теплоснабжения </v>
      </c>
      <c r="AO44" s="1851"/>
      <c r="AP44" s="1851"/>
      <c r="AQ44" s="1858">
        <v>23</v>
      </c>
    </row>
    <row customHeight="1" ht="22.049999999999997">
      <c r="A45" s="1494" t="s">
        <v>203</v>
      </c>
      <c r="B45" s="1494" t="s">
        <v>204</v>
      </c>
      <c r="C45" s="1494" t="s">
        <v>205</v>
      </c>
      <c r="D45" s="1494" t="s">
        <v>206</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403</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404</v>
      </c>
      <c r="AM45" s="1851"/>
      <c r="AN45" s="1851" t="str">
        <f>IF(T45="","",T45)</f>
        <v>Источник тепловой энергии  </v>
      </c>
      <c r="AO45" s="1851"/>
      <c r="AP45" s="1851"/>
      <c r="AQ45" s="1858">
        <v>21</v>
      </c>
    </row>
    <row s="11239" customFormat="1" customHeight="1" ht="0">
      <c r="A46" s="1602" t="s">
        <v>203</v>
      </c>
      <c r="B46" s="1602" t="s">
        <v>204</v>
      </c>
      <c r="C46" s="1602" t="s">
        <v>205</v>
      </c>
      <c r="D46" s="1602" t="s">
        <v>206</v>
      </c>
      <c r="E46" s="2517"/>
      <c r="F46" s="2517"/>
      <c r="G46" s="2517"/>
      <c r="H46" s="2517"/>
      <c r="I46" s="2354" t="str">
        <f>S45&amp;".1"</f>
        <v>....1</v>
      </c>
      <c r="J46" s="1602"/>
      <c r="K46" s="1602"/>
      <c r="L46" s="1608" t="s">
        <v>405</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39" customFormat="1" customHeight="1" ht="0">
      <c r="A47" s="1602" t="s">
        <v>203</v>
      </c>
      <c r="B47" s="1602" t="s">
        <v>204</v>
      </c>
      <c r="C47" s="1602" t="s">
        <v>205</v>
      </c>
      <c r="D47" s="1602" t="s">
        <v>206</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203</v>
      </c>
      <c r="B48" s="1494" t="s">
        <v>204</v>
      </c>
      <c r="C48" s="1494" t="s">
        <v>205</v>
      </c>
      <c r="D48" s="1494" t="s">
        <v>206</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28</v>
      </c>
      <c r="AD48" s="978"/>
      <c r="AE48" s="1484"/>
      <c r="AF48" s="2182"/>
      <c r="AG48" s="2169" t="s">
        <v>65</v>
      </c>
      <c r="AH48" s="2182"/>
      <c r="AI48" s="2169" t="s">
        <v>65</v>
      </c>
      <c r="AJ48" s="1575"/>
      <c r="AK48" s="2480" t="s">
        <v>479</v>
      </c>
      <c r="AL48" s="1863">
        <f>STRCHECKDATE(#REF!)</f>
      </c>
      <c r="AM48" s="1851"/>
      <c r="AN48" s="1851" t="str">
        <f>IF(T48="","",T48)</f>
        <v/>
      </c>
      <c r="AO48" s="1851"/>
      <c r="AP48" s="1851"/>
      <c r="AQ48" s="1858">
        <v>21</v>
      </c>
    </row>
    <row customHeight="1" ht="11.549999999999999">
      <c r="A49" s="1494" t="s">
        <v>203</v>
      </c>
      <c r="B49" s="1494" t="s">
        <v>204</v>
      </c>
      <c r="C49" s="1494" t="s">
        <v>205</v>
      </c>
      <c r="D49" s="1494" t="s">
        <v>206</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239" customFormat="1" customHeight="1" ht="1.05">
      <c r="A50" s="1602" t="s">
        <v>203</v>
      </c>
      <c r="B50" s="1602" t="s">
        <v>204</v>
      </c>
      <c r="C50" s="1602" t="s">
        <v>205</v>
      </c>
      <c r="D50" s="1602" t="s">
        <v>206</v>
      </c>
      <c r="E50" s="2517"/>
      <c r="F50" s="2517"/>
      <c r="G50" s="2517"/>
      <c r="H50" s="2517"/>
      <c r="I50" s="2354"/>
      <c r="J50" s="1602"/>
      <c r="K50" s="1602"/>
      <c r="L50" s="1608"/>
      <c r="M50" s="1473"/>
      <c r="N50" s="1473"/>
      <c r="O50" s="1473"/>
      <c r="P50" s="2484"/>
      <c r="Q50" s="2181"/>
      <c r="R50" s="583"/>
      <c r="S50" s="1613"/>
      <c r="T50" s="1614" t="s">
        <v>414</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808" customFormat="1" customHeight="1" ht="1.05">
      <c r="A51" s="1602" t="s">
        <v>203</v>
      </c>
      <c r="B51" s="1602" t="s">
        <v>204</v>
      </c>
      <c r="C51" s="1602" t="s">
        <v>205</v>
      </c>
      <c r="D51" s="1602" t="s">
        <v>206</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39" customFormat="1" customHeight="1" ht="1.05">
      <c r="A52" s="1602" t="s">
        <v>203</v>
      </c>
      <c r="B52" s="1602" t="s">
        <v>204</v>
      </c>
      <c r="C52" s="1602" t="s">
        <v>205</v>
      </c>
      <c r="D52" s="1601"/>
      <c r="E52" s="2517"/>
      <c r="F52" s="2517"/>
      <c r="G52" s="2516"/>
      <c r="H52" s="1601"/>
      <c r="I52" s="1601"/>
      <c r="J52" s="1601"/>
      <c r="K52" s="1601"/>
      <c r="L52" s="1604"/>
      <c r="M52" s="1605"/>
      <c r="N52" s="1605"/>
      <c r="O52" s="578"/>
      <c r="P52" s="1543"/>
      <c r="Q52" s="1544"/>
      <c r="R52" s="1543"/>
      <c r="S52" s="1549"/>
      <c r="T52" s="1552" t="s">
        <v>416</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39" customFormat="1" customHeight="1" ht="1.05">
      <c r="A53" s="1602" t="s">
        <v>203</v>
      </c>
      <c r="B53" s="1602" t="s">
        <v>204</v>
      </c>
      <c r="C53" s="1601"/>
      <c r="D53" s="1601"/>
      <c r="E53" s="2517"/>
      <c r="F53" s="2516"/>
      <c r="G53" s="1601"/>
      <c r="H53" s="1601"/>
      <c r="I53" s="1601"/>
      <c r="J53" s="1601"/>
      <c r="K53" s="1601"/>
      <c r="L53" s="1604"/>
      <c r="M53" s="1606"/>
      <c r="N53" s="1606"/>
      <c r="O53" s="578"/>
      <c r="P53" s="1543"/>
      <c r="Q53" s="1544"/>
      <c r="R53" s="1543"/>
      <c r="S53" s="1549"/>
      <c r="T53" s="1552" t="s">
        <v>253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39" customFormat="1" customHeight="1" ht="1.05">
      <c r="A54" s="1602" t="s">
        <v>203</v>
      </c>
      <c r="B54" s="1602"/>
      <c r="C54" s="1602"/>
      <c r="D54" s="1602"/>
      <c r="E54" s="2517"/>
      <c r="F54" s="1602"/>
      <c r="G54" s="1602"/>
      <c r="H54" s="1602"/>
      <c r="I54" s="1602"/>
      <c r="J54" s="1602"/>
      <c r="K54" s="1602"/>
      <c r="L54" s="1608"/>
      <c r="M54" s="1606"/>
      <c r="N54" s="1606"/>
      <c r="O54" s="578"/>
      <c r="P54" s="607"/>
      <c r="Q54" s="1571"/>
      <c r="R54" s="607"/>
      <c r="S54" s="1549"/>
      <c r="T54" s="1552" t="s">
        <v>254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39" customFormat="1" customHeight="1" ht="1.05">
      <c r="A55" s="1602" t="s">
        <v>203</v>
      </c>
      <c r="B55" s="1602"/>
      <c r="C55" s="1602"/>
      <c r="D55" s="1602"/>
      <c r="E55" s="2516"/>
      <c r="F55" s="1602"/>
      <c r="G55" s="1602"/>
      <c r="H55" s="1602"/>
      <c r="I55" s="1602"/>
      <c r="J55" s="1602"/>
      <c r="K55" s="1602"/>
      <c r="L55" s="1608"/>
      <c r="M55" s="1606"/>
      <c r="N55" s="1606"/>
      <c r="O55" s="578"/>
      <c r="P55" s="607"/>
      <c r="Q55" s="1571"/>
      <c r="R55" s="607"/>
      <c r="S55" s="1549"/>
      <c r="T55" s="1552" t="s">
        <v>254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39"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255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6739-8AD8-F7E8-45F6-DBED8B23FA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38" width="11.57421875" hidden="1" customWidth="1"/>
    <col min="2" max="2" style="11238" width="11.00390625" hidden="1" customWidth="1"/>
    <col min="3" max="3" style="11238" width="10.57421875" hidden="1"/>
    <col min="4" max="4" style="11238" width="12.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3" width="3.7109375" hidden="1" customWidth="1"/>
    <col min="17" max="17" style="12239" width="3.7109375" hidden="1" customWidth="1"/>
    <col min="18" max="18" style="12055" width="3.00390625" customWidth="1"/>
    <col min="19" max="19" style="12056" width="12.00390625" customWidth="1"/>
    <col min="20" max="20" style="11160" width="31.00390625" customWidth="1"/>
    <col min="21" max="21" style="11160" width="0.140625" customWidth="1"/>
    <col min="22" max="25" style="11160" width="21.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3.7109375" customWidth="1"/>
    <col min="31" max="32" style="11160" width="3.00390625" customWidth="1"/>
    <col min="33" max="33" style="11160" width="24.00390625" customWidth="1"/>
    <col min="34" max="34" style="11160" width="3.7109375" customWidth="1"/>
    <col min="35" max="36" style="11160" width="3.00390625" customWidth="1"/>
    <col min="37" max="37" style="11160" width="24.00390625" customWidth="1"/>
    <col min="38" max="38" style="11160" width="3.7109375" customWidth="1"/>
    <col min="39" max="40" style="11160" width="3.00390625" customWidth="1"/>
    <col min="41" max="41" style="11160" width="18.00390625" customWidth="1"/>
    <col min="42" max="42" style="11160" width="3.7109375" customWidth="1"/>
    <col min="43" max="44" style="11160" width="3.00390625" customWidth="1"/>
    <col min="45" max="45" style="11160" width="18.00390625" customWidth="1"/>
    <col min="46" max="49" style="11160" width="21.00390625" customWidth="1"/>
    <col min="50" max="50" style="11160" width="11.00390625" customWidth="1"/>
    <col min="51" max="51" style="11160" width="3.7109375" customWidth="1"/>
    <col min="52" max="52" style="11160" width="11.00390625" customWidth="1"/>
    <col min="53" max="53" style="11160" width="8.57421875" hidden="1" customWidth="1"/>
    <col min="54" max="54" style="11160" width="4.00390625" customWidth="1"/>
    <col min="55" max="55" style="11160" width="115.00390625" customWidth="1"/>
    <col min="56" max="60" style="11239" width="10.00390625" customWidth="1"/>
    <col min="61" max="61" style="1116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481</v>
      </c>
      <c r="BE4" s="727"/>
      <c r="BF4" s="727" t="str">
        <f>IF(T4="","",T4)</f>
        <v>Наименование централизованной системы холодного водоснабжения</v>
      </c>
      <c r="BG4" s="727"/>
      <c r="BH4" s="727"/>
      <c r="BI4" s="1382">
        <v>0</v>
      </c>
    </row>
    <row s="1123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39" customFormat="1" customHeight="1" ht="14.25" hidden="1">
      <c r="A6" s="1570"/>
      <c r="B6" s="1570"/>
      <c r="C6" s="1570"/>
      <c r="D6" s="1570"/>
      <c r="E6" s="2486"/>
      <c r="F6" s="2486"/>
      <c r="G6" s="2486"/>
      <c r="H6" s="2486"/>
      <c r="I6" s="2483" t="str">
        <f>S5&amp;".1"</f>
        <v>.1</v>
      </c>
      <c r="J6" s="1570"/>
      <c r="K6" s="1570"/>
      <c r="L6" s="1573" t="s">
        <v>405</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3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28</v>
      </c>
      <c r="AL8" s="2334" t="s">
        <v>65</v>
      </c>
      <c r="AM8" s="2419"/>
      <c r="AN8" s="2432">
        <v>1</v>
      </c>
      <c r="AO8" s="2584"/>
      <c r="AP8" s="2585" t="s">
        <v>65</v>
      </c>
      <c r="AQ8" s="538"/>
      <c r="AR8" s="1690">
        <v>1</v>
      </c>
      <c r="AS8" s="1693" t="s">
        <v>28</v>
      </c>
      <c r="AT8" s="978"/>
      <c r="AU8" s="1484"/>
      <c r="AV8" s="978"/>
      <c r="AW8" s="1484"/>
      <c r="AX8" s="1961"/>
      <c r="AY8" s="1686" t="s">
        <v>65</v>
      </c>
      <c r="AZ8" s="1961"/>
      <c r="BA8" s="1686" t="s">
        <v>65</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39"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3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39"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39"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253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3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254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10" customFormat="1" customHeight="1" ht="14.25" hidden="1">
      <c r="M24" s="1735"/>
      <c r="N24" s="1735"/>
      <c r="O24" s="1736" t="s">
        <v>418</v>
      </c>
      <c r="P24" s="1735"/>
      <c r="Q24" s="1737"/>
      <c r="R24" s="1737"/>
      <c r="AA24" s="1734" t="s">
        <v>420</v>
      </c>
      <c r="AC24" s="1734" t="s">
        <v>421</v>
      </c>
      <c r="AD24" s="1734" t="s">
        <v>468</v>
      </c>
      <c r="AH24" s="1734" t="s">
        <v>468</v>
      </c>
      <c r="AK24" s="1734" t="s">
        <v>505</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"Рыбинская генерация"</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6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6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45408</v>
      </c>
      <c r="W32" s="2491"/>
      <c r="X32" s="2491"/>
      <c r="Y32" s="2491"/>
      <c r="Z32" s="2491"/>
      <c r="AA32" s="2491"/>
      <c r="AB32" s="2491"/>
      <c r="AC32" s="553"/>
      <c r="AD32" s="2491" t="str">
        <f>IF(TITLE_DATE_PR_CHANGE="",IF(TITLE_DATE_PR="","",TITLE_DATE_PR),TITLE_DATE_PR_CHANGE)</f>
        <v>45408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6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04/4240</v>
      </c>
      <c r="W33" s="2478"/>
      <c r="X33" s="2478"/>
      <c r="Y33" s="2478"/>
      <c r="Z33" s="2478"/>
      <c r="AA33" s="2478"/>
      <c r="AB33" s="2478"/>
      <c r="AC33" s="553"/>
      <c r="AD33" s="2478" t="str">
        <f>IF(TITLE_NUMBER_PR_CHANGE="",IF(TITLE_NUMBER_PR="","",TITLE_NUMBER_PR),TITLE_NUMBER_PR_CHANGE)</f>
        <v>04/4240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6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65"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45408</v>
      </c>
      <c r="W36" s="2491"/>
      <c r="X36" s="2491"/>
      <c r="Y36" s="2491"/>
      <c r="Z36" s="2491"/>
      <c r="AA36" s="2491"/>
      <c r="AB36" s="2491"/>
      <c r="AC36" s="553"/>
      <c r="AD36" s="2491" t="str">
        <f>IF(TITLE_DATE_PR_CHANGE="",IF(TITLE_DATE_PR="","",TITLE_DATE_PR),TITLE_DATE_PR_CHANGE)</f>
        <v>45408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65"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04/4240</v>
      </c>
      <c r="W37" s="2478"/>
      <c r="X37" s="2478"/>
      <c r="Y37" s="2478"/>
      <c r="Z37" s="2478"/>
      <c r="AA37" s="2478"/>
      <c r="AB37" s="2478"/>
      <c r="AC37" s="553"/>
      <c r="AD37" s="2478" t="str">
        <f>IF(TITLE_NUMBER_PR_CHANGE="",IF(TITLE_NUMBER_PR="","",TITLE_NUMBER_PR),TITLE_NUMBER_PR_CHANGE)</f>
        <v>04/4240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6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506</v>
      </c>
      <c r="U41" s="528"/>
      <c r="V41" s="2501" t="s">
        <v>429</v>
      </c>
      <c r="W41" s="2502"/>
      <c r="X41" s="2502"/>
      <c r="Y41" s="2502"/>
      <c r="Z41" s="2502"/>
      <c r="AA41" s="2502"/>
      <c r="AB41" s="2503"/>
      <c r="AC41" s="2504" t="s">
        <v>430</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675" t="s">
        <v>477</v>
      </c>
      <c r="W44" s="1675" t="s">
        <v>478</v>
      </c>
      <c r="X44" s="1675" t="s">
        <v>477</v>
      </c>
      <c r="Y44" s="1675" t="s">
        <v>478</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477</v>
      </c>
      <c r="AU44" s="1675" t="s">
        <v>478</v>
      </c>
      <c r="AV44" s="1675" t="s">
        <v>477</v>
      </c>
      <c r="AW44" s="1675" t="s">
        <v>478</v>
      </c>
      <c r="AX44" s="1682" t="s">
        <v>446</v>
      </c>
      <c r="AY44" s="2497" t="s">
        <v>447</v>
      </c>
      <c r="AZ44" s="2498"/>
      <c r="BA44" s="2506"/>
      <c r="BB44" s="2509"/>
      <c r="BC44" s="2354"/>
      <c r="BI44" s="1382">
        <v>14</v>
      </c>
    </row>
    <row s="1180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243</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243</v>
      </c>
      <c r="B47" s="1590" t="s">
        <v>244</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43.050000000000004">
      <c r="A48" s="1590" t="s">
        <v>243</v>
      </c>
      <c r="B48" s="1590" t="s">
        <v>244</v>
      </c>
      <c r="C48" s="1590" t="s">
        <v>245</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481</v>
      </c>
      <c r="BE48" s="727"/>
      <c r="BF48" s="727" t="str">
        <f>IF(T48="","",T48)</f>
        <v>Наименование централизованной системы холодного водоснабжения</v>
      </c>
      <c r="BG48" s="727"/>
      <c r="BH48" s="727"/>
      <c r="BI48" s="1382">
        <v>41</v>
      </c>
    </row>
    <row s="11239" customFormat="1" customHeight="1" ht="0">
      <c r="A49" s="1570" t="s">
        <v>243</v>
      </c>
      <c r="B49" s="1570" t="s">
        <v>244</v>
      </c>
      <c r="C49" s="1570" t="s">
        <v>245</v>
      </c>
      <c r="D49" s="1570" t="s">
        <v>514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39" customFormat="1" customHeight="1" ht="0">
      <c r="A50" s="1570" t="s">
        <v>243</v>
      </c>
      <c r="B50" s="1570" t="s">
        <v>244</v>
      </c>
      <c r="C50" s="1570" t="s">
        <v>245</v>
      </c>
      <c r="D50" s="1570" t="s">
        <v>514</v>
      </c>
      <c r="E50" s="2486"/>
      <c r="F50" s="2486"/>
      <c r="G50" s="2486"/>
      <c r="H50" s="2486"/>
      <c r="I50" s="2483" t="str">
        <f>S49&amp;".1"</f>
        <v>.1</v>
      </c>
      <c r="J50" s="1570"/>
      <c r="K50" s="1570"/>
      <c r="L50" s="1573" t="s">
        <v>405</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39" customFormat="1" customHeight="1" ht="0">
      <c r="A51" s="1570" t="s">
        <v>243</v>
      </c>
      <c r="B51" s="1570" t="s">
        <v>244</v>
      </c>
      <c r="C51" s="1570" t="s">
        <v>245</v>
      </c>
      <c r="D51" s="1570" t="s">
        <v>514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243</v>
      </c>
      <c r="B52" s="1590" t="s">
        <v>244</v>
      </c>
      <c r="C52" s="1590" t="s">
        <v>245</v>
      </c>
      <c r="D52" s="1590" t="s">
        <v>514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690">
        <v>1</v>
      </c>
      <c r="AS52" s="1693" t="s">
        <v>28</v>
      </c>
      <c r="AT52" s="978"/>
      <c r="AU52" s="1484"/>
      <c r="AV52" s="978"/>
      <c r="AW52" s="1484"/>
      <c r="AX52" s="1961"/>
      <c r="AY52" s="1686" t="s">
        <v>65</v>
      </c>
      <c r="AZ52" s="1961"/>
      <c r="BA52" s="1686" t="s">
        <v>65</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243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243</v>
      </c>
      <c r="B56" s="1590" t="s">
        <v>244</v>
      </c>
      <c r="C56" s="1590" t="s">
        <v>245</v>
      </c>
      <c r="D56" s="1590" t="s">
        <v>514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243</v>
      </c>
      <c r="B57" s="1590" t="s">
        <v>244</v>
      </c>
      <c r="C57" s="1590" t="s">
        <v>245</v>
      </c>
      <c r="D57" s="1590" t="s">
        <v>514</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39" customFormat="1" customHeight="1" ht="0">
      <c r="A58" s="1570" t="s">
        <v>243</v>
      </c>
      <c r="B58" s="1570" t="s">
        <v>244</v>
      </c>
      <c r="C58" s="1570" t="s">
        <v>245</v>
      </c>
      <c r="D58" s="1570" t="s">
        <v>514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39" customFormat="1" customHeight="1" ht="0">
      <c r="A59" s="1570" t="s">
        <v>243</v>
      </c>
      <c r="B59" s="1570" t="s">
        <v>244</v>
      </c>
      <c r="C59" s="1570" t="s">
        <v>245</v>
      </c>
      <c r="D59" s="1570" t="s">
        <v>514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39" customFormat="1" customHeight="1" ht="0">
      <c r="A60" s="1570" t="s">
        <v>243</v>
      </c>
      <c r="B60" s="1570" t="s">
        <v>244</v>
      </c>
      <c r="C60" s="1570" t="s">
        <v>245</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39" customFormat="1" customHeight="1" ht="0">
      <c r="A61" s="1570" t="s">
        <v>243</v>
      </c>
      <c r="B61" s="1570" t="s">
        <v>244</v>
      </c>
      <c r="C61" s="1541"/>
      <c r="D61" s="1541"/>
      <c r="E61" s="2486"/>
      <c r="F61" s="2485"/>
      <c r="G61" s="1541"/>
      <c r="H61" s="1541"/>
      <c r="I61" s="1541"/>
      <c r="J61" s="1541"/>
      <c r="K61" s="1541"/>
      <c r="L61" s="1691"/>
      <c r="M61" s="1548"/>
      <c r="N61" s="1548"/>
      <c r="P61" s="1543"/>
      <c r="Q61" s="1544"/>
      <c r="R61" s="1543"/>
      <c r="S61" s="1549"/>
      <c r="T61" s="1552" t="s">
        <v>253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39" customFormat="1" customHeight="1" ht="0">
      <c r="A62" s="1570" t="s">
        <v>243</v>
      </c>
      <c r="B62" s="1570"/>
      <c r="C62" s="1570"/>
      <c r="D62" s="1570"/>
      <c r="E62" s="2485"/>
      <c r="F62" s="1570"/>
      <c r="G62" s="1570"/>
      <c r="H62" s="1570"/>
      <c r="I62" s="1570"/>
      <c r="J62" s="1570"/>
      <c r="K62" s="1570"/>
      <c r="L62" s="1573"/>
      <c r="M62" s="1548"/>
      <c r="N62" s="1548"/>
      <c r="O62" s="745"/>
      <c r="P62" s="607"/>
      <c r="Q62" s="1571"/>
      <c r="R62" s="607"/>
      <c r="S62" s="1549"/>
      <c r="T62" s="1552" t="s">
        <v>254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39"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255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4418C-D5A8-D0C8-DE98-5732D0D0FC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4" style="11160" width="24.7109375" hidden="1" customWidth="1"/>
    <col min="25" max="25" style="11160" width="11.7109375" hidden="1" customWidth="1"/>
    <col min="26" max="26" style="11160" width="3.7109375" hidden="1" customWidth="1"/>
    <col min="27" max="27" style="11160" width="11.7109375" hidden="1" customWidth="1"/>
    <col min="28" max="28" style="11160" width="8.57421875" hidden="1" customWidth="1"/>
    <col min="29" max="29" style="11160" width="24.7109375" customWidth="1"/>
    <col min="30" max="31" style="11160" width="24.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3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38"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38" customFormat="1" customHeight="1" ht="14.25" hidden="1">
      <c r="L19" s="1705"/>
      <c r="M19" s="1589"/>
      <c r="N19" s="1589"/>
      <c r="O19" s="1589"/>
      <c r="P19" s="1589"/>
      <c r="Q19" s="1598"/>
      <c r="R19" s="1598"/>
      <c r="S19" s="956"/>
      <c r="AB19" s="1593"/>
      <c r="AI19" s="1593"/>
      <c r="AL19" s="738"/>
      <c r="AM19" s="738"/>
      <c r="AN19" s="738"/>
      <c r="AO19" s="738"/>
      <c r="AP19" s="738"/>
      <c r="AQ19" s="1387">
        <v>0</v>
      </c>
    </row>
    <row s="11238"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553"/>
      <c r="AC29" s="2478" t="str">
        <f>IF(TITLE_NUMBER_PR_CHANGE="",IF(TITLE_NUMBER_PR="","",TITLE_NUMBER_PR),TITLE_NUMBER_PR_CHANGE)</f>
        <v>04/4240</v>
      </c>
      <c r="AD29" s="2478"/>
      <c r="AE29" s="2478"/>
      <c r="AF29" s="2478"/>
      <c r="AG29" s="2478"/>
      <c r="AH29" s="2478"/>
      <c r="AI29" s="553"/>
      <c r="AJ29" s="553"/>
      <c r="AK29" s="507"/>
      <c r="AL29" s="595"/>
      <c r="AM29" s="595"/>
      <c r="AN29" s="595"/>
      <c r="AO29" s="595"/>
      <c r="AP29" s="595"/>
      <c r="AQ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553"/>
      <c r="AC33" s="2478" t="str">
        <f>IF(TITLE_NUMBER_PR_CHANGE="",IF(TITLE_NUMBER_PR="","",TITLE_NUMBER_PR),TITLE_NUMBER_PR_CHANGE)</f>
        <v>04/4240</v>
      </c>
      <c r="AD33" s="2478"/>
      <c r="AE33" s="2478"/>
      <c r="AF33" s="2478"/>
      <c r="AG33" s="2478"/>
      <c r="AH33" s="2478"/>
      <c r="AI33" s="553"/>
      <c r="AJ33" s="553"/>
      <c r="AK33" s="507"/>
      <c r="AL33" s="595"/>
      <c r="AM33" s="595"/>
      <c r="AN33" s="595"/>
      <c r="AO33" s="595"/>
      <c r="AP33" s="595"/>
      <c r="AQ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488</v>
      </c>
      <c r="W38" s="2489" t="s">
        <v>435</v>
      </c>
      <c r="X38" s="2490"/>
      <c r="Y38" s="2489" t="s">
        <v>436</v>
      </c>
      <c r="Z38" s="2496"/>
      <c r="AA38" s="2490"/>
      <c r="AB38" s="2505"/>
      <c r="AC38" s="1710" t="s">
        <v>488</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710" t="s">
        <v>517</v>
      </c>
      <c r="W39" s="1449" t="s">
        <v>518</v>
      </c>
      <c r="X39" s="1449" t="s">
        <v>493</v>
      </c>
      <c r="Y39" s="1716" t="s">
        <v>446</v>
      </c>
      <c r="Z39" s="2497" t="s">
        <v>447</v>
      </c>
      <c r="AA39" s="2498"/>
      <c r="AB39" s="2506"/>
      <c r="AC39" s="1710" t="s">
        <v>517</v>
      </c>
      <c r="AD39" s="1449" t="s">
        <v>518</v>
      </c>
      <c r="AE39" s="1449" t="s">
        <v>493</v>
      </c>
      <c r="AF39" s="1716" t="s">
        <v>446</v>
      </c>
      <c r="AG39" s="2497" t="s">
        <v>447</v>
      </c>
      <c r="AH39" s="2498"/>
      <c r="AI39" s="2506"/>
      <c r="AJ39" s="2509"/>
      <c r="AK39" s="2354"/>
      <c r="AQ39" s="1382">
        <v>86</v>
      </c>
    </row>
    <row s="1180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268</v>
      </c>
      <c r="B42" s="1590" t="s">
        <v>269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268</v>
      </c>
      <c r="B43" s="1590" t="s">
        <v>269</v>
      </c>
      <c r="C43" s="1590" t="s">
        <v>270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268</v>
      </c>
      <c r="B44" s="1590" t="s">
        <v>269</v>
      </c>
      <c r="C44" s="1590" t="s">
        <v>270</v>
      </c>
      <c r="D44" s="1590" t="s">
        <v>519</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268</v>
      </c>
      <c r="B45" s="1590" t="s">
        <v>269</v>
      </c>
      <c r="C45" s="1590" t="s">
        <v>270</v>
      </c>
      <c r="D45" s="1590" t="s">
        <v>519</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268</v>
      </c>
      <c r="B46" s="1590" t="s">
        <v>269</v>
      </c>
      <c r="C46" s="1590" t="s">
        <v>270</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268</v>
      </c>
      <c r="B47" s="1590" t="s">
        <v>269</v>
      </c>
      <c r="C47" s="1590" t="s">
        <v>270</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268</v>
      </c>
      <c r="B48" s="1590" t="s">
        <v>269</v>
      </c>
      <c r="C48" s="1590" t="s">
        <v>270</v>
      </c>
      <c r="D48" s="1590" t="s">
        <v>519</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268</v>
      </c>
      <c r="B49" s="1590" t="s">
        <v>269</v>
      </c>
      <c r="C49" s="1590" t="s">
        <v>270</v>
      </c>
      <c r="D49" s="1590" t="s">
        <v>519</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268</v>
      </c>
      <c r="B50" s="1590" t="s">
        <v>269</v>
      </c>
      <c r="C50" s="1590" t="s">
        <v>270</v>
      </c>
      <c r="D50" s="1590" t="s">
        <v>519</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39" customFormat="1" customHeight="1" ht="0">
      <c r="A51" s="1570" t="s">
        <v>268</v>
      </c>
      <c r="B51" s="1570" t="s">
        <v>269</v>
      </c>
      <c r="C51" s="1541"/>
      <c r="D51" s="1541"/>
      <c r="E51" s="2486"/>
      <c r="F51" s="2485"/>
      <c r="G51" s="1541"/>
      <c r="H51" s="1541"/>
      <c r="I51" s="1541"/>
      <c r="J51" s="1541"/>
      <c r="K51" s="1541"/>
      <c r="L51" s="1721"/>
      <c r="M51" s="1548"/>
      <c r="N51" s="1548"/>
      <c r="P51" s="1543"/>
      <c r="Q51" s="1544"/>
      <c r="R51" s="1543"/>
      <c r="S51" s="1549"/>
      <c r="T51" s="1552" t="s">
        <v>253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39" customFormat="1" customHeight="1" ht="0">
      <c r="A52" s="1570" t="s">
        <v>268</v>
      </c>
      <c r="B52" s="1570"/>
      <c r="C52" s="1570"/>
      <c r="D52" s="1570"/>
      <c r="E52" s="2485"/>
      <c r="F52" s="1570"/>
      <c r="G52" s="1570"/>
      <c r="H52" s="1570"/>
      <c r="I52" s="1570"/>
      <c r="J52" s="1570"/>
      <c r="K52" s="1570"/>
      <c r="L52" s="1573"/>
      <c r="M52" s="1548"/>
      <c r="N52" s="1548"/>
      <c r="O52" s="745"/>
      <c r="P52" s="607"/>
      <c r="Q52" s="1571"/>
      <c r="R52" s="607"/>
      <c r="S52" s="1549"/>
      <c r="T52" s="1552" t="s">
        <v>254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3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1F1F9-66B8-4C14-F1F8-4C2BC773AE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4" style="11160" width="24.7109375" hidden="1" customWidth="1"/>
    <col min="25" max="25" style="11160" width="11.7109375" hidden="1" customWidth="1"/>
    <col min="26" max="26" style="11160" width="3.7109375" hidden="1" customWidth="1"/>
    <col min="27" max="27" style="11160" width="11.7109375" hidden="1" customWidth="1"/>
    <col min="28" max="28" style="11160" width="8.57421875" hidden="1" customWidth="1"/>
    <col min="29" max="29" style="11160" width="24.7109375" customWidth="1"/>
    <col min="30" max="31" style="11160" width="24.00390625" customWidth="1"/>
    <col min="32" max="32" style="11160" width="11.00390625" customWidth="1"/>
    <col min="33" max="33" style="11160" width="3.7109375" customWidth="1"/>
    <col min="34" max="34" style="11160" width="11.00390625" customWidth="1"/>
    <col min="35" max="35" style="11160" width="8.57421875" hidden="1" customWidth="1"/>
    <col min="36" max="36" style="11160" width="4.00390625" customWidth="1"/>
    <col min="37" max="37" style="11160" width="115.00390625" customWidth="1"/>
    <col min="38" max="42" style="11239" width="10.00390625" customWidth="1"/>
    <col min="43" max="43" style="1116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3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38"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38" customFormat="1" customHeight="1" ht="14.25" hidden="1">
      <c r="L19" s="1705"/>
      <c r="M19" s="1589"/>
      <c r="N19" s="1589"/>
      <c r="O19" s="1589"/>
      <c r="P19" s="1589"/>
      <c r="Q19" s="1598"/>
      <c r="R19" s="1598"/>
      <c r="S19" s="956"/>
      <c r="AB19" s="1593"/>
      <c r="AI19" s="1593"/>
      <c r="AL19" s="738"/>
      <c r="AM19" s="738"/>
      <c r="AN19" s="738"/>
      <c r="AO19" s="738"/>
      <c r="AP19" s="738"/>
      <c r="AQ19" s="1387">
        <v>0</v>
      </c>
    </row>
    <row s="11238"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553"/>
      <c r="AC29" s="2478" t="str">
        <f>IF(TITLE_NUMBER_PR_CHANGE="",IF(TITLE_NUMBER_PR="","",TITLE_NUMBER_PR),TITLE_NUMBER_PR_CHANGE)</f>
        <v>04/4240</v>
      </c>
      <c r="AD29" s="2478"/>
      <c r="AE29" s="2478"/>
      <c r="AF29" s="2478"/>
      <c r="AG29" s="2478"/>
      <c r="AH29" s="2478"/>
      <c r="AI29" s="553"/>
      <c r="AJ29" s="553"/>
      <c r="AK29" s="507"/>
      <c r="AL29" s="595"/>
      <c r="AM29" s="595"/>
      <c r="AN29" s="595"/>
      <c r="AO29" s="595"/>
      <c r="AP29" s="595"/>
      <c r="AQ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553"/>
      <c r="AC33" s="2478" t="str">
        <f>IF(TITLE_NUMBER_PR_CHANGE="",IF(TITLE_NUMBER_PR="","",TITLE_NUMBER_PR),TITLE_NUMBER_PR_CHANGE)</f>
        <v>04/4240</v>
      </c>
      <c r="AD33" s="2478"/>
      <c r="AE33" s="2478"/>
      <c r="AF33" s="2478"/>
      <c r="AG33" s="2478"/>
      <c r="AH33" s="2478"/>
      <c r="AI33" s="553"/>
      <c r="AJ33" s="553"/>
      <c r="AK33" s="507"/>
      <c r="AL33" s="595"/>
      <c r="AM33" s="595"/>
      <c r="AN33" s="595"/>
      <c r="AO33" s="595"/>
      <c r="AP33" s="595"/>
      <c r="AQ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488</v>
      </c>
      <c r="W38" s="2489" t="s">
        <v>435</v>
      </c>
      <c r="X38" s="2490"/>
      <c r="Y38" s="2489" t="s">
        <v>436</v>
      </c>
      <c r="Z38" s="2496"/>
      <c r="AA38" s="2490"/>
      <c r="AB38" s="2505"/>
      <c r="AC38" s="1710" t="s">
        <v>488</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710" t="s">
        <v>517</v>
      </c>
      <c r="W39" s="1449" t="s">
        <v>518</v>
      </c>
      <c r="X39" s="1449" t="s">
        <v>493</v>
      </c>
      <c r="Y39" s="1716" t="s">
        <v>446</v>
      </c>
      <c r="Z39" s="2497" t="s">
        <v>447</v>
      </c>
      <c r="AA39" s="2498"/>
      <c r="AB39" s="2506"/>
      <c r="AC39" s="1710" t="s">
        <v>517</v>
      </c>
      <c r="AD39" s="1449" t="s">
        <v>518</v>
      </c>
      <c r="AE39" s="1449" t="s">
        <v>493</v>
      </c>
      <c r="AF39" s="1716" t="s">
        <v>446</v>
      </c>
      <c r="AG39" s="2497" t="s">
        <v>447</v>
      </c>
      <c r="AH39" s="2498"/>
      <c r="AI39" s="2506"/>
      <c r="AJ39" s="2509"/>
      <c r="AK39" s="2354"/>
      <c r="AQ39" s="1382">
        <v>86</v>
      </c>
    </row>
    <row s="118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273</v>
      </c>
      <c r="B43" s="1590" t="s">
        <v>274</v>
      </c>
      <c r="C43" s="1590" t="s">
        <v>275</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520</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520</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273</v>
      </c>
      <c r="B46" s="1590" t="s">
        <v>274</v>
      </c>
      <c r="C46" s="1590" t="s">
        <v>275</v>
      </c>
      <c r="D46" s="1590" t="s">
        <v>520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273</v>
      </c>
      <c r="B48" s="1590" t="s">
        <v>274</v>
      </c>
      <c r="C48" s="1590" t="s">
        <v>275</v>
      </c>
      <c r="D48" s="1590" t="s">
        <v>520</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520</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520</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39" customFormat="1" customHeight="1" ht="0">
      <c r="A51" s="1570" t="s">
        <v>273</v>
      </c>
      <c r="B51" s="1570" t="s">
        <v>274</v>
      </c>
      <c r="C51" s="1541"/>
      <c r="D51" s="1541"/>
      <c r="E51" s="2486"/>
      <c r="F51" s="2485"/>
      <c r="G51" s="1541"/>
      <c r="H51" s="1541"/>
      <c r="I51" s="1541"/>
      <c r="J51" s="1541"/>
      <c r="K51" s="1541"/>
      <c r="L51" s="1721"/>
      <c r="M51" s="1548"/>
      <c r="N51" s="1548"/>
      <c r="P51" s="1543"/>
      <c r="Q51" s="1544"/>
      <c r="R51" s="1543"/>
      <c r="S51" s="1549"/>
      <c r="T51" s="1552" t="s">
        <v>253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39" customFormat="1" customHeight="1" ht="0">
      <c r="A52" s="1570" t="s">
        <v>273</v>
      </c>
      <c r="B52" s="1570"/>
      <c r="C52" s="1570"/>
      <c r="D52" s="1570"/>
      <c r="E52" s="2485"/>
      <c r="F52" s="1570"/>
      <c r="G52" s="1570"/>
      <c r="H52" s="1570"/>
      <c r="I52" s="1570"/>
      <c r="J52" s="1570"/>
      <c r="K52" s="1570"/>
      <c r="L52" s="1573"/>
      <c r="M52" s="1548"/>
      <c r="N52" s="1548"/>
      <c r="O52" s="745"/>
      <c r="P52" s="607"/>
      <c r="Q52" s="1571"/>
      <c r="R52" s="607"/>
      <c r="S52" s="1549"/>
      <c r="T52" s="1552" t="s">
        <v>254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3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970DD-AAE8-BF0B-3D0D-89F01B7AD2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38" width="11.57421875" hidden="1" customWidth="1"/>
    <col min="2" max="2" style="11238" width="11.00390625" hidden="1" customWidth="1"/>
    <col min="3" max="3" style="11238" width="10.57421875" hidden="1"/>
    <col min="4" max="4" style="11238" width="12.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3" width="3.7109375" hidden="1" customWidth="1"/>
    <col min="17" max="17" style="12239" width="3.7109375" hidden="1" customWidth="1"/>
    <col min="18" max="18" style="12055" width="3.00390625" customWidth="1"/>
    <col min="19" max="19" style="12056" width="12.00390625" customWidth="1"/>
    <col min="20" max="20" style="11160" width="31.00390625" customWidth="1"/>
    <col min="21" max="21" style="11160" width="0.140625" customWidth="1"/>
    <col min="22" max="25" style="11160" width="21.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3.7109375" customWidth="1"/>
    <col min="31" max="32" style="11160" width="3.00390625" customWidth="1"/>
    <col min="33" max="33" style="11160" width="24.00390625" customWidth="1"/>
    <col min="34" max="34" style="11160" width="3.7109375" customWidth="1"/>
    <col min="35" max="36" style="11160" width="3.00390625" customWidth="1"/>
    <col min="37" max="37" style="11160" width="24.00390625" customWidth="1"/>
    <col min="38" max="38" style="11160" width="3.7109375" customWidth="1"/>
    <col min="39" max="40" style="11160" width="3.00390625" customWidth="1"/>
    <col min="41" max="41" style="11160" width="18.00390625" customWidth="1"/>
    <col min="42" max="42" style="11160" width="3.7109375" customWidth="1"/>
    <col min="43" max="44" style="11160" width="3.00390625" customWidth="1"/>
    <col min="45" max="45" style="11160" width="18.00390625" customWidth="1"/>
    <col min="46" max="49" style="11160" width="21.00390625" customWidth="1"/>
    <col min="50" max="50" style="11160" width="11.00390625" customWidth="1"/>
    <col min="51" max="51" style="11160" width="3.7109375" customWidth="1"/>
    <col min="52" max="52" style="11160" width="11.00390625" customWidth="1"/>
    <col min="53" max="53" style="11160" width="8.57421875" hidden="1" customWidth="1"/>
    <col min="54" max="54" style="11160" width="4.00390625" customWidth="1"/>
    <col min="55" max="55" style="11160" width="115.00390625" customWidth="1"/>
    <col min="56" max="60" style="11239" width="10.00390625" customWidth="1"/>
    <col min="61" max="61" style="1116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516</v>
      </c>
      <c r="BE4" s="727"/>
      <c r="BF4" s="727" t="str">
        <f>IF(T4="","",T4)</f>
        <v>Наименование централизованной системы водоотведения</v>
      </c>
      <c r="BG4" s="727"/>
      <c r="BH4" s="727"/>
      <c r="BI4" s="1382">
        <v>0</v>
      </c>
    </row>
    <row s="1123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39"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3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3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3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3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3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253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3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254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10" customFormat="1" customHeight="1" ht="14.25" hidden="1">
      <c r="M24" s="1735"/>
      <c r="N24" s="1735"/>
      <c r="O24" s="1736" t="s">
        <v>418</v>
      </c>
      <c r="P24" s="1735"/>
      <c r="Q24" s="1737"/>
      <c r="R24" s="1737"/>
      <c r="AA24" s="1734" t="s">
        <v>420</v>
      </c>
      <c r="AC24" s="1734" t="s">
        <v>421</v>
      </c>
      <c r="AD24" s="1734" t="s">
        <v>468</v>
      </c>
      <c r="AH24" s="1734" t="s">
        <v>468</v>
      </c>
      <c r="AK24" s="1734" t="s">
        <v>505</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"Рыбинская генерация"</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6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6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45408</v>
      </c>
      <c r="W32" s="2491"/>
      <c r="X32" s="2491"/>
      <c r="Y32" s="2491"/>
      <c r="Z32" s="2491"/>
      <c r="AA32" s="2491"/>
      <c r="AB32" s="2491"/>
      <c r="AC32" s="553"/>
      <c r="AD32" s="2491" t="str">
        <f>IF(TITLE_DATE_PR_CHANGE="",IF(TITLE_DATE_PR="","",TITLE_DATE_PR),TITLE_DATE_PR_CHANGE)</f>
        <v>45408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6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04/4240</v>
      </c>
      <c r="W33" s="2478"/>
      <c r="X33" s="2478"/>
      <c r="Y33" s="2478"/>
      <c r="Z33" s="2478"/>
      <c r="AA33" s="2478"/>
      <c r="AB33" s="2478"/>
      <c r="AC33" s="553"/>
      <c r="AD33" s="2478" t="str">
        <f>IF(TITLE_NUMBER_PR_CHANGE="",IF(TITLE_NUMBER_PR="","",TITLE_NUMBER_PR),TITLE_NUMBER_PR_CHANGE)</f>
        <v>04/4240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6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65"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45408</v>
      </c>
      <c r="W36" s="2491"/>
      <c r="X36" s="2491"/>
      <c r="Y36" s="2491"/>
      <c r="Z36" s="2491"/>
      <c r="AA36" s="2491"/>
      <c r="AB36" s="2491"/>
      <c r="AC36" s="553"/>
      <c r="AD36" s="2491" t="str">
        <f>IF(TITLE_DATE_PR_CHANGE="",IF(TITLE_DATE_PR="","",TITLE_DATE_PR),TITLE_DATE_PR_CHANGE)</f>
        <v>45408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65"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04/4240</v>
      </c>
      <c r="W37" s="2478"/>
      <c r="X37" s="2478"/>
      <c r="Y37" s="2478"/>
      <c r="Z37" s="2478"/>
      <c r="AA37" s="2478"/>
      <c r="AB37" s="2478"/>
      <c r="AC37" s="553"/>
      <c r="AD37" s="2478" t="str">
        <f>IF(TITLE_NUMBER_PR_CHANGE="",IF(TITLE_NUMBER_PR="","",TITLE_NUMBER_PR),TITLE_NUMBER_PR_CHANGE)</f>
        <v>04/4240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6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506</v>
      </c>
      <c r="U41" s="528"/>
      <c r="V41" s="2501" t="s">
        <v>429</v>
      </c>
      <c r="W41" s="2502"/>
      <c r="X41" s="2502"/>
      <c r="Y41" s="2502"/>
      <c r="Z41" s="2502"/>
      <c r="AA41" s="2502"/>
      <c r="AB41" s="2503"/>
      <c r="AC41" s="2504" t="s">
        <v>430</v>
      </c>
      <c r="AD41" s="2555" t="s">
        <v>523</v>
      </c>
      <c r="AE41" s="2518"/>
      <c r="AF41" s="2518"/>
      <c r="AG41" s="2556"/>
      <c r="AH41" s="2555" t="s">
        <v>524</v>
      </c>
      <c r="AI41" s="2518"/>
      <c r="AJ41" s="2518"/>
      <c r="AK41" s="2556"/>
      <c r="AL41" s="2555" t="s">
        <v>525</v>
      </c>
      <c r="AM41" s="2518"/>
      <c r="AN41" s="2518"/>
      <c r="AO41" s="2556"/>
      <c r="AP41" s="2555" t="s">
        <v>510</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526</v>
      </c>
      <c r="AU42" s="2420"/>
      <c r="AV42" s="2419" t="s">
        <v>527</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180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278</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278</v>
      </c>
      <c r="B47" s="1590" t="s">
        <v>279</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278</v>
      </c>
      <c r="B48" s="1590" t="s">
        <v>279</v>
      </c>
      <c r="C48" s="1590" t="s">
        <v>280</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516</v>
      </c>
      <c r="BE48" s="727"/>
      <c r="BF48" s="727" t="str">
        <f>IF(T48="","",T48)</f>
        <v>Наименование централизованной системы водоотведения</v>
      </c>
      <c r="BG48" s="727"/>
      <c r="BH48" s="727"/>
      <c r="BI48" s="1382">
        <v>34</v>
      </c>
    </row>
    <row s="11239" customFormat="1" customHeight="1" ht="0">
      <c r="A49" s="1570" t="s">
        <v>278</v>
      </c>
      <c r="B49" s="1570" t="s">
        <v>279</v>
      </c>
      <c r="C49" s="1570" t="s">
        <v>280</v>
      </c>
      <c r="D49" s="1570" t="s">
        <v>528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39" customFormat="1" customHeight="1" ht="0">
      <c r="A50" s="1570" t="s">
        <v>278</v>
      </c>
      <c r="B50" s="1570" t="s">
        <v>279</v>
      </c>
      <c r="C50" s="1570" t="s">
        <v>280</v>
      </c>
      <c r="D50" s="1570" t="s">
        <v>528</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39" customFormat="1" customHeight="1" ht="0">
      <c r="A51" s="1570" t="s">
        <v>278</v>
      </c>
      <c r="B51" s="1570" t="s">
        <v>279</v>
      </c>
      <c r="C51" s="1570" t="s">
        <v>280</v>
      </c>
      <c r="D51" s="1570" t="s">
        <v>528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278</v>
      </c>
      <c r="B52" s="1590" t="s">
        <v>279</v>
      </c>
      <c r="C52" s="1590" t="s">
        <v>280</v>
      </c>
      <c r="D52" s="1590" t="s">
        <v>528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278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278</v>
      </c>
      <c r="B56" s="1590" t="s">
        <v>279</v>
      </c>
      <c r="C56" s="1590" t="s">
        <v>280</v>
      </c>
      <c r="D56" s="1590" t="s">
        <v>528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278</v>
      </c>
      <c r="B57" s="1590" t="s">
        <v>279</v>
      </c>
      <c r="C57" s="1590" t="s">
        <v>280</v>
      </c>
      <c r="D57" s="1590" t="s">
        <v>528</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39" customFormat="1" customHeight="1" ht="0">
      <c r="A58" s="1570" t="s">
        <v>278</v>
      </c>
      <c r="B58" s="1570" t="s">
        <v>279</v>
      </c>
      <c r="C58" s="1570" t="s">
        <v>280</v>
      </c>
      <c r="D58" s="1570" t="s">
        <v>528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39" customFormat="1" customHeight="1" ht="0">
      <c r="A59" s="1570" t="s">
        <v>278</v>
      </c>
      <c r="B59" s="1570" t="s">
        <v>279</v>
      </c>
      <c r="C59" s="1570" t="s">
        <v>280</v>
      </c>
      <c r="D59" s="1570" t="s">
        <v>528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39" customFormat="1" customHeight="1" ht="0">
      <c r="A60" s="1570" t="s">
        <v>278</v>
      </c>
      <c r="B60" s="1570" t="s">
        <v>279</v>
      </c>
      <c r="C60" s="1570" t="s">
        <v>280</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39" customFormat="1" customHeight="1" ht="0">
      <c r="A61" s="1570" t="s">
        <v>278</v>
      </c>
      <c r="B61" s="1570" t="s">
        <v>279</v>
      </c>
      <c r="C61" s="1541"/>
      <c r="D61" s="1541"/>
      <c r="E61" s="2486"/>
      <c r="F61" s="2485"/>
      <c r="G61" s="1541"/>
      <c r="H61" s="1541"/>
      <c r="I61" s="1541"/>
      <c r="J61" s="1541"/>
      <c r="K61" s="1541"/>
      <c r="L61" s="1721"/>
      <c r="M61" s="1548"/>
      <c r="N61" s="1548"/>
      <c r="P61" s="1543"/>
      <c r="Q61" s="1544"/>
      <c r="R61" s="1543"/>
      <c r="S61" s="1549"/>
      <c r="T61" s="1552" t="s">
        <v>253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39" customFormat="1" customHeight="1" ht="0">
      <c r="A62" s="1570" t="s">
        <v>278</v>
      </c>
      <c r="B62" s="1570"/>
      <c r="C62" s="1570"/>
      <c r="D62" s="1570"/>
      <c r="E62" s="2485"/>
      <c r="F62" s="1570"/>
      <c r="G62" s="1570"/>
      <c r="H62" s="1570"/>
      <c r="I62" s="1570"/>
      <c r="J62" s="1570"/>
      <c r="K62" s="1570"/>
      <c r="L62" s="1573"/>
      <c r="M62" s="1548"/>
      <c r="N62" s="1548"/>
      <c r="O62" s="745"/>
      <c r="P62" s="607"/>
      <c r="Q62" s="1571"/>
      <c r="R62" s="607"/>
      <c r="S62" s="1549"/>
      <c r="T62" s="1552" t="s">
        <v>254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3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255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2F79F-2298-814E-C38E-8DFE16D3F5B8}" mc:Ignorable="x14ac xr xr2 xr3">
  <sheetPr>
    <tabColor theme="6" tint="0.4"/>
  </sheetPr>
  <dimension ref="A1:CF63"/>
  <sheetViews>
    <sheetView topLeftCell="P23" showGridLines="0" zoomScale="90" workbookViewId="0" tabSelected="1">
      <selection activeCell="BA47" sqref="BA47:BA48"/>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8" style="11160" width="19.7109375" hidden="1" customWidth="1"/>
    <col min="29" max="29" style="11160" width="11.7109375" hidden="1" customWidth="1"/>
    <col min="30" max="30" style="11160" width="3.7109375" hidden="1" customWidth="1"/>
    <col min="31" max="31" style="11160" width="11.7109375" hidden="1" customWidth="1"/>
    <col min="32" max="32" style="11160" width="8.57421875" hidden="1" customWidth="1"/>
    <col min="33" max="33" style="11160" width="19.7109375" customWidth="1"/>
    <col min="34" max="39" style="11160" width="19.00390625" customWidth="1"/>
    <col min="40" max="40" style="11160" width="11.00390625" customWidth="1"/>
    <col min="41" max="41" style="11160" width="3.7109375" customWidth="1"/>
    <col min="42" max="42" style="11160" width="11.00390625" customWidth="1"/>
    <col min="43" max="43" style="11160" width="8.57421875" customWidth="1"/>
    <col min="76" max="76" style="62" width="10.57421875" hidden="1"/>
    <col min="77" max="77" style="11160" width="4.00390625" customWidth="1"/>
    <col min="78" max="78" style="11160" width="115.00390625" customWidth="1"/>
    <col min="79" max="83" style="11239" width="10.00390625" customWidth="1"/>
    <col min="84" max="84" style="11160" width="10.57421875" hidden="1"/>
  </cols>
  <sheetData>
    <row customHeight="1" ht="22.5" hidden="1">
      <c r="AC1" s="554"/>
      <c r="AN1" s="554"/>
      <c r="AR1" s="9408"/>
      <c r="AS1" s="9408"/>
      <c r="AT1" s="9408"/>
      <c r="AU1" s="9408"/>
      <c r="AV1" s="9408"/>
      <c r="AW1" s="9408"/>
      <c r="AX1" s="9408"/>
      <c r="AY1" s="9408"/>
      <c r="AZ1" s="9408"/>
      <c r="BA1" s="9408"/>
      <c r="BB1" s="9408"/>
      <c r="BC1" s="9408"/>
      <c r="BD1" s="9408"/>
      <c r="BE1" s="9408"/>
      <c r="BF1" s="9408"/>
      <c r="BG1" s="9408"/>
      <c r="BH1" s="9408"/>
      <c r="BI1" s="9408"/>
      <c r="BJ1" s="9408"/>
      <c r="BK1" s="9408"/>
      <c r="BL1" s="9408"/>
      <c r="BM1" s="9408"/>
      <c r="BN1" s="9408"/>
      <c r="BO1" s="9408"/>
      <c r="BP1" s="9408"/>
      <c r="BQ1" s="9408"/>
      <c r="BR1" s="9408"/>
      <c r="BS1" s="9408"/>
      <c r="BT1" s="9408"/>
      <c r="BU1" s="9408"/>
      <c r="BV1" s="9408"/>
      <c r="BW1" s="9408"/>
      <c r="BX1" s="9408"/>
      <c r="CF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9409"/>
      <c r="AS2" s="9410"/>
      <c r="AT2" s="9410"/>
      <c r="AU2" s="9410"/>
      <c r="AV2" s="9410"/>
      <c r="AW2" s="9410"/>
      <c r="AX2" s="9410"/>
      <c r="AY2" s="9410"/>
      <c r="AZ2" s="9410"/>
      <c r="BA2" s="9410"/>
      <c r="BB2" s="9411"/>
      <c r="BC2" s="9409"/>
      <c r="BD2" s="9410"/>
      <c r="BE2" s="9410"/>
      <c r="BF2" s="9410"/>
      <c r="BG2" s="9410"/>
      <c r="BH2" s="9410"/>
      <c r="BI2" s="9410"/>
      <c r="BJ2" s="9410"/>
      <c r="BK2" s="9410"/>
      <c r="BL2" s="9410"/>
      <c r="BM2" s="9411"/>
      <c r="BN2" s="9409"/>
      <c r="BO2" s="9410"/>
      <c r="BP2" s="9410"/>
      <c r="BQ2" s="9410"/>
      <c r="BR2" s="9410"/>
      <c r="BS2" s="9410"/>
      <c r="BT2" s="9410"/>
      <c r="BU2" s="9410"/>
      <c r="BV2" s="9410"/>
      <c r="BW2" s="9410"/>
      <c r="BX2" s="9411"/>
      <c r="BY2" s="2471"/>
      <c r="BZ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727"/>
      <c r="CC2" s="727" t="str">
        <f>IF(T2="","",T2)</f>
        <v>Наименование тарифа</v>
      </c>
      <c r="CD2" s="727"/>
      <c r="CE2" s="727"/>
      <c r="CF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9409"/>
      <c r="AS3" s="9410"/>
      <c r="AT3" s="9410"/>
      <c r="AU3" s="9410"/>
      <c r="AV3" s="9410"/>
      <c r="AW3" s="9410"/>
      <c r="AX3" s="9410"/>
      <c r="AY3" s="9410"/>
      <c r="AZ3" s="9410"/>
      <c r="BA3" s="9410"/>
      <c r="BB3" s="9411"/>
      <c r="BC3" s="9409"/>
      <c r="BD3" s="9410"/>
      <c r="BE3" s="9410"/>
      <c r="BF3" s="9410"/>
      <c r="BG3" s="9410"/>
      <c r="BH3" s="9410"/>
      <c r="BI3" s="9410"/>
      <c r="BJ3" s="9410"/>
      <c r="BK3" s="9410"/>
      <c r="BL3" s="9410"/>
      <c r="BM3" s="9411"/>
      <c r="BN3" s="9409"/>
      <c r="BO3" s="9410"/>
      <c r="BP3" s="9410"/>
      <c r="BQ3" s="9410"/>
      <c r="BR3" s="9410"/>
      <c r="BS3" s="9410"/>
      <c r="BT3" s="9410"/>
      <c r="BU3" s="9410"/>
      <c r="BV3" s="9410"/>
      <c r="BW3" s="9410"/>
      <c r="BX3" s="9411"/>
      <c r="BY3" s="2471"/>
      <c r="BZ3" s="1485" t="s">
        <v>400</v>
      </c>
      <c r="CB3" s="727"/>
      <c r="CC3" s="727" t="str">
        <f>IF(T3="","",T3)</f>
        <v>Территория действия тарифа</v>
      </c>
      <c r="CD3" s="727"/>
      <c r="CE3" s="727"/>
      <c r="CF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9409"/>
      <c r="AS4" s="9410"/>
      <c r="AT4" s="9410"/>
      <c r="AU4" s="9410"/>
      <c r="AV4" s="9410"/>
      <c r="AW4" s="9410"/>
      <c r="AX4" s="9410"/>
      <c r="AY4" s="9410"/>
      <c r="AZ4" s="9410"/>
      <c r="BA4" s="9410"/>
      <c r="BB4" s="9411"/>
      <c r="BC4" s="9409"/>
      <c r="BD4" s="9410"/>
      <c r="BE4" s="9410"/>
      <c r="BF4" s="9410"/>
      <c r="BG4" s="9410"/>
      <c r="BH4" s="9410"/>
      <c r="BI4" s="9410"/>
      <c r="BJ4" s="9410"/>
      <c r="BK4" s="9410"/>
      <c r="BL4" s="9410"/>
      <c r="BM4" s="9411"/>
      <c r="BN4" s="9409"/>
      <c r="BO4" s="9410"/>
      <c r="BP4" s="9410"/>
      <c r="BQ4" s="9410"/>
      <c r="BR4" s="9410"/>
      <c r="BS4" s="9410"/>
      <c r="BT4" s="9410"/>
      <c r="BU4" s="9410"/>
      <c r="BV4" s="9410"/>
      <c r="BW4" s="9410"/>
      <c r="BX4" s="9411"/>
      <c r="BY4" s="2471"/>
      <c r="BZ4" s="1485" t="s">
        <v>530</v>
      </c>
      <c r="CB4" s="727"/>
      <c r="CC4" s="727" t="str">
        <f>IF(T4="","",T4)</f>
        <v>Наименование централизованной системы горячего водоснабжения</v>
      </c>
      <c r="CD4" s="727"/>
      <c r="CE4" s="727"/>
      <c r="CF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9412"/>
      <c r="AS5" s="9413"/>
      <c r="AT5" s="9413"/>
      <c r="AU5" s="9413"/>
      <c r="AV5" s="9413"/>
      <c r="AW5" s="9413"/>
      <c r="AX5" s="9413"/>
      <c r="AY5" s="9413"/>
      <c r="AZ5" s="9413"/>
      <c r="BA5" s="9413"/>
      <c r="BB5" s="9414"/>
      <c r="BC5" s="9412"/>
      <c r="BD5" s="9413"/>
      <c r="BE5" s="9413"/>
      <c r="BF5" s="9413"/>
      <c r="BG5" s="9413"/>
      <c r="BH5" s="9413"/>
      <c r="BI5" s="9413"/>
      <c r="BJ5" s="9413"/>
      <c r="BK5" s="9413"/>
      <c r="BL5" s="9413"/>
      <c r="BM5" s="9414"/>
      <c r="BN5" s="9412"/>
      <c r="BO5" s="9413"/>
      <c r="BP5" s="9413"/>
      <c r="BQ5" s="9413"/>
      <c r="BR5" s="9413"/>
      <c r="BS5" s="9413"/>
      <c r="BT5" s="9413"/>
      <c r="BU5" s="9413"/>
      <c r="BV5" s="9413"/>
      <c r="BW5" s="9413"/>
      <c r="BX5" s="9414"/>
      <c r="BY5" s="2582"/>
      <c r="BZ5" s="1485" t="s">
        <v>483</v>
      </c>
      <c r="CB5" s="727"/>
      <c r="CC5" s="727" t="str">
        <f>IF(T5="","",T5)</f>
        <v>Наименование признака дифференциации</v>
      </c>
      <c r="CD5" s="727"/>
      <c r="CE5" s="727"/>
      <c r="CF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9415"/>
      <c r="AS6" s="9416"/>
      <c r="AT6" s="9416"/>
      <c r="AU6" s="9416"/>
      <c r="AV6" s="9416"/>
      <c r="AW6" s="9416"/>
      <c r="AX6" s="9416"/>
      <c r="AY6" s="9416"/>
      <c r="AZ6" s="9416"/>
      <c r="BA6" s="9416"/>
      <c r="BB6" s="9417"/>
      <c r="BC6" s="9415"/>
      <c r="BD6" s="9416"/>
      <c r="BE6" s="9416"/>
      <c r="BF6" s="9416"/>
      <c r="BG6" s="9416"/>
      <c r="BH6" s="9416"/>
      <c r="BI6" s="9416"/>
      <c r="BJ6" s="9416"/>
      <c r="BK6" s="9416"/>
      <c r="BL6" s="9416"/>
      <c r="BM6" s="9417"/>
      <c r="BN6" s="9415"/>
      <c r="BO6" s="9416"/>
      <c r="BP6" s="9416"/>
      <c r="BQ6" s="9416"/>
      <c r="BR6" s="9416"/>
      <c r="BS6" s="9416"/>
      <c r="BT6" s="9416"/>
      <c r="BU6" s="9416"/>
      <c r="BV6" s="9416"/>
      <c r="BW6" s="9416"/>
      <c r="BX6" s="9417"/>
      <c r="BY6" s="2474"/>
      <c r="BZ6" s="1534" t="s">
        <v>484</v>
      </c>
      <c r="CB6" s="727"/>
      <c r="CC6" s="727" t="str">
        <f>IF(T6="","",T6)</f>
        <v>Группа потребителей</v>
      </c>
      <c r="CD6" s="727"/>
      <c r="CE6" s="727"/>
      <c r="CF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9418"/>
      <c r="AS7" s="9418"/>
      <c r="AT7" s="9418"/>
      <c r="AU7" s="9418"/>
      <c r="AV7" s="9418"/>
      <c r="AW7" s="9418"/>
      <c r="AX7" s="9418"/>
      <c r="AY7" s="9419"/>
      <c r="AZ7" s="9420" t="s">
        <v>65</v>
      </c>
      <c r="BA7" s="9419"/>
      <c r="BB7" s="9420" t="s">
        <v>65</v>
      </c>
      <c r="BC7" s="9418"/>
      <c r="BD7" s="9418"/>
      <c r="BE7" s="9418"/>
      <c r="BF7" s="9418"/>
      <c r="BG7" s="9418"/>
      <c r="BH7" s="9418"/>
      <c r="BI7" s="9418"/>
      <c r="BJ7" s="9419"/>
      <c r="BK7" s="9420" t="s">
        <v>65</v>
      </c>
      <c r="BL7" s="9419"/>
      <c r="BM7" s="9420" t="s">
        <v>65</v>
      </c>
      <c r="BN7" s="9418"/>
      <c r="BO7" s="9418"/>
      <c r="BP7" s="9418"/>
      <c r="BQ7" s="9418"/>
      <c r="BR7" s="9418"/>
      <c r="BS7" s="9418"/>
      <c r="BT7" s="9418"/>
      <c r="BU7" s="9419"/>
      <c r="BV7" s="9420" t="s">
        <v>65</v>
      </c>
      <c r="BW7" s="9419"/>
      <c r="BX7" s="9420" t="s">
        <v>65</v>
      </c>
      <c r="BY7" s="1665"/>
      <c r="BZ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738">
        <f>STRCHECKDATE(V8:BY8)</f>
      </c>
      <c r="CB7" s="727"/>
      <c r="CC7" s="727" t="str">
        <f>IF(T7="","",T7)</f>
        <v/>
      </c>
      <c r="CD7" s="727"/>
      <c r="CE7" s="727"/>
      <c r="CF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9421"/>
      <c r="AS8" s="9421"/>
      <c r="AT8" s="9421"/>
      <c r="AU8" s="9421"/>
      <c r="AV8" s="9421"/>
      <c r="AW8" s="9421"/>
      <c r="AX8" s="9421"/>
      <c r="AY8" s="9422"/>
      <c r="AZ8" s="9420"/>
      <c r="BA8" s="9422"/>
      <c r="BB8" s="9420"/>
      <c r="BC8" s="9421"/>
      <c r="BD8" s="9421"/>
      <c r="BE8" s="9421"/>
      <c r="BF8" s="9421"/>
      <c r="BG8" s="9421"/>
      <c r="BH8" s="9421"/>
      <c r="BI8" s="9421"/>
      <c r="BJ8" s="9422"/>
      <c r="BK8" s="9420"/>
      <c r="BL8" s="9422"/>
      <c r="BM8" s="9420"/>
      <c r="BN8" s="9421"/>
      <c r="BO8" s="9421"/>
      <c r="BP8" s="9421"/>
      <c r="BQ8" s="9421"/>
      <c r="BR8" s="9421"/>
      <c r="BS8" s="9421"/>
      <c r="BT8" s="9421"/>
      <c r="BU8" s="9422"/>
      <c r="BV8" s="9420"/>
      <c r="BW8" s="9422"/>
      <c r="BX8" s="9420"/>
      <c r="BY8" s="1666"/>
      <c r="BZ8" s="2576"/>
      <c r="CB8" s="727"/>
      <c r="CC8" s="727" t="str">
        <f>IF(T8="","",T8)</f>
        <v/>
      </c>
      <c r="CD8" s="727"/>
      <c r="CE8" s="727"/>
      <c r="CF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9423"/>
      <c r="AS9" s="9424"/>
      <c r="AT9" s="9425"/>
      <c r="AU9" s="9426"/>
      <c r="AV9" s="9427"/>
      <c r="AW9" s="9428"/>
      <c r="AX9" s="9429"/>
      <c r="AY9" s="9430"/>
      <c r="AZ9" s="9431"/>
      <c r="BA9" s="9432"/>
      <c r="BB9" s="9433"/>
      <c r="BC9" s="9434"/>
      <c r="BD9" s="9435"/>
      <c r="BE9" s="9436"/>
      <c r="BF9" s="9437"/>
      <c r="BG9" s="9438"/>
      <c r="BH9" s="9439"/>
      <c r="BI9" s="9440"/>
      <c r="BJ9" s="9441"/>
      <c r="BK9" s="9442"/>
      <c r="BL9" s="9443"/>
      <c r="BM9" s="9444"/>
      <c r="BN9" s="9445"/>
      <c r="BO9" s="9446"/>
      <c r="BP9" s="9447"/>
      <c r="BQ9" s="9448"/>
      <c r="BR9" s="9449"/>
      <c r="BS9" s="9450"/>
      <c r="BT9" s="9451"/>
      <c r="BU9" s="9452"/>
      <c r="BV9" s="9453"/>
      <c r="BW9" s="9454"/>
      <c r="BX9" s="9455"/>
      <c r="BY9" s="594"/>
      <c r="BZ9" s="1485" t="s">
        <v>486</v>
      </c>
      <c r="CB9" s="727"/>
      <c r="CC9" s="727" t="str">
        <f>IF(T9="","",T9)</f>
        <v>Добавить значение признака дифференциации</v>
      </c>
      <c r="CD9" s="727"/>
      <c r="CE9" s="727"/>
      <c r="CF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9456"/>
      <c r="AS10" s="9457"/>
      <c r="AT10" s="9458"/>
      <c r="AU10" s="9459"/>
      <c r="AV10" s="9460"/>
      <c r="AW10" s="9461"/>
      <c r="AX10" s="9462"/>
      <c r="AY10" s="9463"/>
      <c r="AZ10" s="9464"/>
      <c r="BA10" s="9465"/>
      <c r="BB10" s="9466"/>
      <c r="BC10" s="9467"/>
      <c r="BD10" s="9468"/>
      <c r="BE10" s="9469"/>
      <c r="BF10" s="9470"/>
      <c r="BG10" s="9471"/>
      <c r="BH10" s="9472"/>
      <c r="BI10" s="9473"/>
      <c r="BJ10" s="9474"/>
      <c r="BK10" s="9475"/>
      <c r="BL10" s="9476"/>
      <c r="BM10" s="9477"/>
      <c r="BN10" s="9478"/>
      <c r="BO10" s="9479"/>
      <c r="BP10" s="9480"/>
      <c r="BQ10" s="9481"/>
      <c r="BR10" s="9482"/>
      <c r="BS10" s="9483"/>
      <c r="BT10" s="9484"/>
      <c r="BU10" s="9485"/>
      <c r="BV10" s="9486"/>
      <c r="BW10" s="9487"/>
      <c r="BX10" s="9488"/>
      <c r="BY10" s="594"/>
      <c r="BZ10" s="1667"/>
      <c r="CB10" s="727"/>
      <c r="CC10" s="727" t="str">
        <f>IF(T10="","",T10)</f>
        <v>Добавить группу потребителей</v>
      </c>
      <c r="CD10" s="727"/>
      <c r="CE10" s="727"/>
      <c r="CF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9489"/>
      <c r="AS11" s="9490"/>
      <c r="AT11" s="9491"/>
      <c r="AU11" s="9492"/>
      <c r="AV11" s="9493"/>
      <c r="AW11" s="9494"/>
      <c r="AX11" s="9495"/>
      <c r="AY11" s="9496"/>
      <c r="AZ11" s="9497"/>
      <c r="BA11" s="9498"/>
      <c r="BB11" s="9499"/>
      <c r="BC11" s="9500"/>
      <c r="BD11" s="9501"/>
      <c r="BE11" s="9502"/>
      <c r="BF11" s="9503"/>
      <c r="BG11" s="9504"/>
      <c r="BH11" s="9505"/>
      <c r="BI11" s="9506"/>
      <c r="BJ11" s="9507"/>
      <c r="BK11" s="9508"/>
      <c r="BL11" s="9509"/>
      <c r="BM11" s="9510"/>
      <c r="BN11" s="9511"/>
      <c r="BO11" s="9512"/>
      <c r="BP11" s="9513"/>
      <c r="BQ11" s="9514"/>
      <c r="BR11" s="9515"/>
      <c r="BS11" s="9516"/>
      <c r="BT11" s="9517"/>
      <c r="BU11" s="9518"/>
      <c r="BV11" s="9519"/>
      <c r="BW11" s="9520"/>
      <c r="BX11" s="9521"/>
      <c r="BY11" s="594"/>
      <c r="BZ11" s="530"/>
      <c r="CB11" s="727"/>
      <c r="CC11" s="727" t="str">
        <f>IF(T11="","",T11)</f>
        <v>Добавить наименование признака дифференциации</v>
      </c>
      <c r="CD11" s="727"/>
      <c r="CE11" s="727"/>
      <c r="CF11" s="1382">
        <v>0</v>
      </c>
    </row>
    <row s="1123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9522"/>
      <c r="AS12" s="9522"/>
      <c r="AT12" s="9522"/>
      <c r="AU12" s="9522"/>
      <c r="AV12" s="9522"/>
      <c r="AW12" s="9522"/>
      <c r="AX12" s="9522"/>
      <c r="AY12" s="9522"/>
      <c r="AZ12" s="9522"/>
      <c r="BA12" s="9522"/>
      <c r="BB12" s="9522"/>
      <c r="BC12" s="9522"/>
      <c r="BD12" s="9522"/>
      <c r="BE12" s="9522"/>
      <c r="BF12" s="9522"/>
      <c r="BG12" s="9522"/>
      <c r="BH12" s="9522"/>
      <c r="BI12" s="9522"/>
      <c r="BJ12" s="9522"/>
      <c r="BK12" s="9522"/>
      <c r="BL12" s="9522"/>
      <c r="BM12" s="9522"/>
      <c r="BN12" s="9522"/>
      <c r="BO12" s="9522"/>
      <c r="BP12" s="9522"/>
      <c r="BQ12" s="9522"/>
      <c r="BR12" s="9522"/>
      <c r="BS12" s="9522"/>
      <c r="BT12" s="9522"/>
      <c r="BU12" s="9522"/>
      <c r="BV12" s="9522"/>
      <c r="BW12" s="9522"/>
      <c r="BX12" s="9522"/>
      <c r="BY12" s="1551"/>
      <c r="BZ12" s="1551"/>
      <c r="CB12" s="1016"/>
      <c r="CC12" s="1016" t="str">
        <f>IF(T12="","",T12)</f>
        <v>Добавить централизованную систему для дифференциации</v>
      </c>
      <c r="CD12" s="1016"/>
      <c r="CE12" s="1016"/>
      <c r="CF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9522"/>
      <c r="AS13" s="9522"/>
      <c r="AT13" s="9522"/>
      <c r="AU13" s="9522"/>
      <c r="AV13" s="9522"/>
      <c r="AW13" s="9522"/>
      <c r="AX13" s="9522"/>
      <c r="AY13" s="9522"/>
      <c r="AZ13" s="9522"/>
      <c r="BA13" s="9522"/>
      <c r="BB13" s="9522"/>
      <c r="BC13" s="9522"/>
      <c r="BD13" s="9522"/>
      <c r="BE13" s="9522"/>
      <c r="BF13" s="9522"/>
      <c r="BG13" s="9522"/>
      <c r="BH13" s="9522"/>
      <c r="BI13" s="9522"/>
      <c r="BJ13" s="9522"/>
      <c r="BK13" s="9522"/>
      <c r="BL13" s="9522"/>
      <c r="BM13" s="9522"/>
      <c r="BN13" s="9522"/>
      <c r="BO13" s="9522"/>
      <c r="BP13" s="9522"/>
      <c r="BQ13" s="9522"/>
      <c r="BR13" s="9522"/>
      <c r="BS13" s="9522"/>
      <c r="BT13" s="9522"/>
      <c r="BU13" s="9522"/>
      <c r="BV13" s="9522"/>
      <c r="BW13" s="9522"/>
      <c r="BX13" s="9522"/>
      <c r="BY13" s="1551"/>
      <c r="BZ13" s="1551"/>
      <c r="CB13" s="727"/>
      <c r="CC13" s="727" t="str">
        <f>IF(T13="","",T13)</f>
        <v>Добавить территорию для дифференциации</v>
      </c>
      <c r="CD13" s="727"/>
      <c r="CE13" s="727"/>
      <c r="CF13" s="738">
        <v>0</v>
      </c>
    </row>
    <row customHeight="1" ht="14.25" hidden="1">
      <c r="AF14" s="554"/>
      <c r="AQ14" s="554"/>
      <c r="AR14" s="9408"/>
      <c r="AS14" s="9408"/>
      <c r="AT14" s="9408"/>
      <c r="AU14" s="9408"/>
      <c r="AV14" s="9408"/>
      <c r="AW14" s="9408"/>
      <c r="AX14" s="9408"/>
      <c r="AY14" s="9408"/>
      <c r="AZ14" s="9408"/>
      <c r="BA14" s="9408"/>
      <c r="BB14" s="9408"/>
      <c r="BC14" s="9408"/>
      <c r="BD14" s="9408"/>
      <c r="BE14" s="9408"/>
      <c r="BF14" s="9408"/>
      <c r="BG14" s="9408"/>
      <c r="BH14" s="9408"/>
      <c r="BI14" s="9408"/>
      <c r="BJ14" s="9408"/>
      <c r="BK14" s="9408"/>
      <c r="BL14" s="9408"/>
      <c r="BM14" s="9408"/>
      <c r="BN14" s="9408"/>
      <c r="BO14" s="9408"/>
      <c r="BP14" s="9408"/>
      <c r="BQ14" s="9408"/>
      <c r="BR14" s="9408"/>
      <c r="BS14" s="9408"/>
      <c r="BT14" s="9408"/>
      <c r="BU14" s="9408"/>
      <c r="BV14" s="9408"/>
      <c r="BW14" s="9408"/>
      <c r="BX14" s="9408"/>
      <c r="CF14" s="1382">
        <v>0</v>
      </c>
    </row>
    <row customHeight="1" ht="14.25" hidden="1">
      <c r="AG15" s="1587"/>
      <c r="AH15" s="1587"/>
      <c r="AI15" s="1587"/>
      <c r="AJ15" s="1587"/>
      <c r="AK15" s="1587"/>
      <c r="AL15" s="1587"/>
      <c r="AM15" s="1587"/>
      <c r="AN15" s="2494"/>
      <c r="AO15" s="2495" t="s">
        <v>65</v>
      </c>
      <c r="AP15" s="2494"/>
      <c r="AQ15" s="2495" t="s">
        <v>65</v>
      </c>
      <c r="AR15" s="9408"/>
      <c r="AS15" s="9408"/>
      <c r="AT15" s="9408"/>
      <c r="AU15" s="9408"/>
      <c r="AV15" s="9408"/>
      <c r="AW15" s="9408"/>
      <c r="AX15" s="9408"/>
      <c r="AY15" s="9408"/>
      <c r="AZ15" s="9408"/>
      <c r="BA15" s="9408"/>
      <c r="BB15" s="9408"/>
      <c r="BC15" s="9408"/>
      <c r="BD15" s="9408"/>
      <c r="BE15" s="9408"/>
      <c r="BF15" s="9408"/>
      <c r="BG15" s="9408"/>
      <c r="BH15" s="9408"/>
      <c r="BI15" s="9408"/>
      <c r="BJ15" s="9408"/>
      <c r="BK15" s="9408"/>
      <c r="BL15" s="9408"/>
      <c r="BM15" s="9408"/>
      <c r="BN15" s="9408"/>
      <c r="BO15" s="9408"/>
      <c r="BP15" s="9408"/>
      <c r="BQ15" s="9408"/>
      <c r="BR15" s="9408"/>
      <c r="BS15" s="9408"/>
      <c r="BT15" s="9408"/>
      <c r="BU15" s="9408"/>
      <c r="BV15" s="9408"/>
      <c r="BW15" s="9408"/>
      <c r="BX15" s="9408"/>
      <c r="CF15" s="1382">
        <v>0</v>
      </c>
    </row>
    <row customHeight="1" ht="14.25" hidden="1">
      <c r="AG16" s="1587"/>
      <c r="AH16" s="1587"/>
      <c r="AI16" s="1587"/>
      <c r="AJ16" s="1587"/>
      <c r="AK16" s="1587"/>
      <c r="AL16" s="1587"/>
      <c r="AM16" s="1587"/>
      <c r="AN16" s="2495"/>
      <c r="AO16" s="2495"/>
      <c r="AP16" s="2495"/>
      <c r="AQ16" s="2495"/>
      <c r="AR16" s="9408"/>
      <c r="AS16" s="9408"/>
      <c r="AT16" s="9408"/>
      <c r="AU16" s="9408"/>
      <c r="AV16" s="9408"/>
      <c r="AW16" s="9408"/>
      <c r="AX16" s="9408"/>
      <c r="AY16" s="9408"/>
      <c r="AZ16" s="9408"/>
      <c r="BA16" s="9408"/>
      <c r="BB16" s="9408"/>
      <c r="BC16" s="9408"/>
      <c r="BD16" s="9408"/>
      <c r="BE16" s="9408"/>
      <c r="BF16" s="9408"/>
      <c r="BG16" s="9408"/>
      <c r="BH16" s="9408"/>
      <c r="BI16" s="9408"/>
      <c r="BJ16" s="9408"/>
      <c r="BK16" s="9408"/>
      <c r="BL16" s="9408"/>
      <c r="BM16" s="9408"/>
      <c r="BN16" s="9408"/>
      <c r="BO16" s="9408"/>
      <c r="BP16" s="9408"/>
      <c r="BQ16" s="9408"/>
      <c r="BR16" s="9408"/>
      <c r="BS16" s="9408"/>
      <c r="BT16" s="9408"/>
      <c r="BU16" s="9408"/>
      <c r="BV16" s="9408"/>
      <c r="BW16" s="9408"/>
      <c r="BX16" s="9408"/>
      <c r="CF16" s="1382">
        <v>0</v>
      </c>
    </row>
    <row customHeight="1" ht="14.25" hidden="1">
      <c r="AQ17" s="554"/>
      <c r="AR17" s="9408"/>
      <c r="AS17" s="9408"/>
      <c r="AT17" s="9408"/>
      <c r="AU17" s="9408"/>
      <c r="AV17" s="9408"/>
      <c r="AW17" s="9408"/>
      <c r="AX17" s="9408"/>
      <c r="AY17" s="9408"/>
      <c r="AZ17" s="9408"/>
      <c r="BA17" s="9408"/>
      <c r="BB17" s="9408"/>
      <c r="BC17" s="9408"/>
      <c r="BD17" s="9408"/>
      <c r="BE17" s="9408"/>
      <c r="BF17" s="9408"/>
      <c r="BG17" s="9408"/>
      <c r="BH17" s="9408"/>
      <c r="BI17" s="9408"/>
      <c r="BJ17" s="9408"/>
      <c r="BK17" s="9408"/>
      <c r="BL17" s="9408"/>
      <c r="BM17" s="9408"/>
      <c r="BN17" s="9408"/>
      <c r="BO17" s="9408"/>
      <c r="BP17" s="9408"/>
      <c r="BQ17" s="9408"/>
      <c r="BR17" s="9408"/>
      <c r="BS17" s="9408"/>
      <c r="BT17" s="9408"/>
      <c r="BU17" s="9408"/>
      <c r="BV17" s="9408"/>
      <c r="BW17" s="9408"/>
      <c r="BX17" s="9408"/>
      <c r="CF17" s="1382">
        <v>0</v>
      </c>
    </row>
    <row s="11238"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R18" s="9523"/>
      <c r="AS18" s="9523"/>
      <c r="AT18" s="9523"/>
      <c r="AU18" s="9523"/>
      <c r="AV18" s="9523"/>
      <c r="AW18" s="9523"/>
      <c r="AX18" s="9523"/>
      <c r="AY18" s="9524"/>
      <c r="AZ18" s="9523"/>
      <c r="BA18" s="9524"/>
      <c r="BB18" s="9523"/>
      <c r="BC18" s="9523"/>
      <c r="BD18" s="9523"/>
      <c r="BE18" s="9523"/>
      <c r="BF18" s="9523"/>
      <c r="BG18" s="9523"/>
      <c r="BH18" s="9523"/>
      <c r="BI18" s="9523"/>
      <c r="BJ18" s="9524"/>
      <c r="BK18" s="9523"/>
      <c r="BL18" s="9524"/>
      <c r="BM18" s="9523"/>
      <c r="BN18" s="9523"/>
      <c r="BO18" s="9523"/>
      <c r="BP18" s="9523"/>
      <c r="BQ18" s="9523"/>
      <c r="BR18" s="9523"/>
      <c r="BS18" s="9523"/>
      <c r="BT18" s="9523"/>
      <c r="BU18" s="9524"/>
      <c r="BV18" s="9523"/>
      <c r="BW18" s="9524"/>
      <c r="BX18" s="9523"/>
      <c r="CA18" s="738"/>
      <c r="CB18" s="738"/>
      <c r="CC18" s="738"/>
      <c r="CD18" s="738"/>
      <c r="CE18" s="738"/>
      <c r="CF18" s="1387">
        <v>0</v>
      </c>
    </row>
    <row s="11238"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R19" s="9523"/>
      <c r="AS19" s="9523"/>
      <c r="AT19" s="9523"/>
      <c r="AU19" s="9523"/>
      <c r="AV19" s="9523"/>
      <c r="AW19" s="9523"/>
      <c r="AX19" s="9523"/>
      <c r="AY19" s="9523"/>
      <c r="AZ19" s="9523"/>
      <c r="BA19" s="9523"/>
      <c r="BB19" s="9523"/>
      <c r="BC19" s="9523"/>
      <c r="BD19" s="9523"/>
      <c r="BE19" s="9523"/>
      <c r="BF19" s="9523"/>
      <c r="BG19" s="9523"/>
      <c r="BH19" s="9523"/>
      <c r="BI19" s="9523"/>
      <c r="BJ19" s="9523"/>
      <c r="BK19" s="9523"/>
      <c r="BL19" s="9523"/>
      <c r="BM19" s="9523"/>
      <c r="BN19" s="9523"/>
      <c r="BO19" s="9523"/>
      <c r="BP19" s="9523"/>
      <c r="BQ19" s="9523"/>
      <c r="BR19" s="9523"/>
      <c r="BS19" s="9523"/>
      <c r="BT19" s="9523"/>
      <c r="BU19" s="9523"/>
      <c r="BV19" s="9523"/>
      <c r="BW19" s="9523"/>
      <c r="BX19" s="9523"/>
      <c r="CA19" s="738"/>
      <c r="CB19" s="738"/>
      <c r="CC19" s="738"/>
      <c r="CD19" s="738"/>
      <c r="CE19" s="738"/>
      <c r="CF19" s="1387">
        <v>0</v>
      </c>
    </row>
    <row s="11238"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R20" s="9523"/>
      <c r="AS20" s="9523"/>
      <c r="AT20" s="9523"/>
      <c r="AU20" s="9523"/>
      <c r="AV20" s="9523"/>
      <c r="AW20" s="9523"/>
      <c r="AX20" s="9523"/>
      <c r="AY20" s="9523"/>
      <c r="AZ20" s="9525" t="s">
        <v>420</v>
      </c>
      <c r="BA20" s="9523"/>
      <c r="BB20" s="9525" t="s">
        <v>421</v>
      </c>
      <c r="BC20" s="9523"/>
      <c r="BD20" s="9523"/>
      <c r="BE20" s="9523"/>
      <c r="BF20" s="9523"/>
      <c r="BG20" s="9523"/>
      <c r="BH20" s="9523"/>
      <c r="BI20" s="9523"/>
      <c r="BJ20" s="9523"/>
      <c r="BK20" s="9525" t="s">
        <v>420</v>
      </c>
      <c r="BL20" s="9523"/>
      <c r="BM20" s="9525" t="s">
        <v>421</v>
      </c>
      <c r="BN20" s="9523"/>
      <c r="BO20" s="9523"/>
      <c r="BP20" s="9523"/>
      <c r="BQ20" s="9523"/>
      <c r="BR20" s="9523"/>
      <c r="BS20" s="9523"/>
      <c r="BT20" s="9523"/>
      <c r="BU20" s="9523"/>
      <c r="BV20" s="9525" t="s">
        <v>420</v>
      </c>
      <c r="BW20" s="9523"/>
      <c r="BX20" s="9525" t="s">
        <v>421</v>
      </c>
      <c r="CF20" s="1387">
        <v>0</v>
      </c>
    </row>
    <row customHeight="1" ht="14.25" hidden="1">
      <c r="O21" s="1591"/>
      <c r="AR21" s="9408"/>
      <c r="AS21" s="9408"/>
      <c r="AT21" s="9408"/>
      <c r="AU21" s="9408"/>
      <c r="AV21" s="9408"/>
      <c r="AW21" s="9408"/>
      <c r="AX21" s="9408"/>
      <c r="AY21" s="9408"/>
      <c r="AZ21" s="9408"/>
      <c r="BA21" s="9408"/>
      <c r="BB21" s="9408"/>
      <c r="BC21" s="9408"/>
      <c r="BD21" s="9408"/>
      <c r="BE21" s="9408"/>
      <c r="BF21" s="9408"/>
      <c r="BG21" s="9408"/>
      <c r="BH21" s="9408"/>
      <c r="BI21" s="9408"/>
      <c r="BJ21" s="9408"/>
      <c r="BK21" s="9408"/>
      <c r="BL21" s="9408"/>
      <c r="BM21" s="9408"/>
      <c r="BN21" s="9408"/>
      <c r="BO21" s="9408"/>
      <c r="BP21" s="9408"/>
      <c r="BQ21" s="9408"/>
      <c r="BR21" s="9408"/>
      <c r="BS21" s="9408"/>
      <c r="BT21" s="9408"/>
      <c r="BU21" s="9408"/>
      <c r="BV21" s="9408"/>
      <c r="BW21" s="9408"/>
      <c r="BX21" s="9408"/>
      <c r="CF21" s="1382">
        <v>0</v>
      </c>
    </row>
    <row customHeight="1" ht="14.25" hidden="1">
      <c r="O22" s="1591"/>
      <c r="AR22" s="9408"/>
      <c r="AS22" s="9408"/>
      <c r="AT22" s="9408"/>
      <c r="AU22" s="9408"/>
      <c r="AV22" s="9408"/>
      <c r="AW22" s="9408"/>
      <c r="AX22" s="9408"/>
      <c r="AY22" s="9408"/>
      <c r="AZ22" s="9408"/>
      <c r="BA22" s="9408"/>
      <c r="BB22" s="9408"/>
      <c r="BC22" s="9408"/>
      <c r="BD22" s="9408"/>
      <c r="BE22" s="9408"/>
      <c r="BF22" s="9408"/>
      <c r="BG22" s="9408"/>
      <c r="BH22" s="9408"/>
      <c r="BI22" s="9408"/>
      <c r="BJ22" s="9408"/>
      <c r="BK22" s="9408"/>
      <c r="BL22" s="9408"/>
      <c r="BM22" s="9408"/>
      <c r="BN22" s="9408"/>
      <c r="BO22" s="9408"/>
      <c r="BP22" s="9408"/>
      <c r="BQ22" s="9408"/>
      <c r="BR22" s="9408"/>
      <c r="BS22" s="9408"/>
      <c r="BT22" s="9408"/>
      <c r="BU22" s="9408"/>
      <c r="BV22" s="9408"/>
      <c r="BW22" s="9408"/>
      <c r="BX22" s="9408"/>
      <c r="CF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R23" s="9408"/>
      <c r="AS23" s="9408"/>
      <c r="AT23" s="9408"/>
      <c r="AU23" s="9408"/>
      <c r="AV23" s="9408"/>
      <c r="AW23" s="9408"/>
      <c r="AX23" s="9408"/>
      <c r="AY23" s="9408"/>
      <c r="AZ23" s="9408"/>
      <c r="BA23" s="9408"/>
      <c r="BB23" s="9408"/>
      <c r="BC23" s="9408"/>
      <c r="BD23" s="9408"/>
      <c r="BE23" s="9408"/>
      <c r="BF23" s="9408"/>
      <c r="BG23" s="9408"/>
      <c r="BH23" s="9408"/>
      <c r="BI23" s="9408"/>
      <c r="BJ23" s="9408"/>
      <c r="BK23" s="9408"/>
      <c r="BL23" s="9408"/>
      <c r="BM23" s="9408"/>
      <c r="BN23" s="9408"/>
      <c r="BO23" s="9408"/>
      <c r="BP23" s="9408"/>
      <c r="BQ23" s="9408"/>
      <c r="BR23" s="9408"/>
      <c r="BS23" s="9408"/>
      <c r="BT23" s="9408"/>
      <c r="BU23" s="9408"/>
      <c r="BV23" s="9408"/>
      <c r="BW23" s="9408"/>
      <c r="BX23" s="9408"/>
      <c r="CF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R24" s="9526"/>
      <c r="AS24" s="9526"/>
      <c r="AT24" s="9526"/>
      <c r="AU24" s="9526"/>
      <c r="AV24" s="9526"/>
      <c r="AW24" s="9526"/>
      <c r="AX24" s="9526"/>
      <c r="AY24" s="9526"/>
      <c r="AZ24" s="9526"/>
      <c r="BA24" s="9526"/>
      <c r="BB24" s="9526"/>
      <c r="BC24" s="9526"/>
      <c r="BD24" s="9526"/>
      <c r="BE24" s="9526"/>
      <c r="BF24" s="9526"/>
      <c r="BG24" s="9526"/>
      <c r="BH24" s="9526"/>
      <c r="BI24" s="9526"/>
      <c r="BJ24" s="9526"/>
      <c r="BK24" s="9526"/>
      <c r="BL24" s="9526"/>
      <c r="BM24" s="9526"/>
      <c r="BN24" s="9526"/>
      <c r="BO24" s="9526"/>
      <c r="BP24" s="9526"/>
      <c r="BQ24" s="9526"/>
      <c r="BR24" s="9526"/>
      <c r="BS24" s="9526"/>
      <c r="BT24" s="9526"/>
      <c r="BU24" s="9526"/>
      <c r="BV24" s="9526"/>
      <c r="BW24" s="9526"/>
      <c r="BX24" s="9526"/>
      <c r="CF24" s="1382">
        <v>25</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R25" s="9527"/>
      <c r="AS25" s="9527"/>
      <c r="AT25" s="9527"/>
      <c r="AU25" s="9527"/>
      <c r="AV25" s="9527"/>
      <c r="AW25" s="9527"/>
      <c r="AX25" s="9527"/>
      <c r="AY25" s="9527"/>
      <c r="AZ25" s="9527"/>
      <c r="BA25" s="9527"/>
      <c r="BB25" s="9527"/>
      <c r="BC25" s="9527"/>
      <c r="BD25" s="9527"/>
      <c r="BE25" s="9527"/>
      <c r="BF25" s="9527"/>
      <c r="BG25" s="9527"/>
      <c r="BH25" s="9527"/>
      <c r="BI25" s="9527"/>
      <c r="BJ25" s="9527"/>
      <c r="BK25" s="9527"/>
      <c r="BL25" s="9527"/>
      <c r="BM25" s="9527"/>
      <c r="BN25" s="9527"/>
      <c r="BO25" s="9527"/>
      <c r="BP25" s="9527"/>
      <c r="BQ25" s="9527"/>
      <c r="BR25" s="9527"/>
      <c r="BS25" s="9527"/>
      <c r="BT25" s="9527"/>
      <c r="BU25" s="9527"/>
      <c r="BV25" s="9527"/>
      <c r="BW25" s="9527"/>
      <c r="BX25" s="9527"/>
      <c r="CF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9528"/>
      <c r="AS26" s="9528"/>
      <c r="AT26" s="9528"/>
      <c r="AU26" s="9528"/>
      <c r="AV26" s="9528"/>
      <c r="AW26" s="9528"/>
      <c r="AX26" s="9528"/>
      <c r="AY26" s="9528"/>
      <c r="AZ26" s="9528"/>
      <c r="BA26" s="9528"/>
      <c r="BB26" s="9528"/>
      <c r="BC26" s="9528"/>
      <c r="BD26" s="9528"/>
      <c r="BE26" s="9528"/>
      <c r="BF26" s="9528"/>
      <c r="BG26" s="9528"/>
      <c r="BH26" s="9528"/>
      <c r="BI26" s="9528"/>
      <c r="BJ26" s="9528"/>
      <c r="BK26" s="9528"/>
      <c r="BL26" s="9528"/>
      <c r="BM26" s="9528"/>
      <c r="BN26" s="9528"/>
      <c r="BO26" s="9528"/>
      <c r="BP26" s="9528"/>
      <c r="BQ26" s="9528"/>
      <c r="BR26" s="9528"/>
      <c r="BS26" s="9528"/>
      <c r="BT26" s="9528"/>
      <c r="BU26" s="9528"/>
      <c r="BV26" s="9528"/>
      <c r="BW26" s="9528"/>
      <c r="BX26" s="9528"/>
      <c r="BY26" s="736"/>
      <c r="CF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9529" t="str">
        <f>IF(TITLE_NAME_OR_PR_CHANGE="",IF(TITLE_NAME_OR_PR="","",TITLE_NAME_OR_PR),TITLE_NAME_OR_PR_CHANGE)</f>
        <v/>
      </c>
      <c r="AS27" s="9529"/>
      <c r="AT27" s="9529"/>
      <c r="AU27" s="9529"/>
      <c r="AV27" s="9529"/>
      <c r="AW27" s="9529"/>
      <c r="AX27" s="9529"/>
      <c r="AY27" s="9529"/>
      <c r="AZ27" s="9529"/>
      <c r="BA27" s="9529"/>
      <c r="BB27" s="9408"/>
      <c r="BC27" s="9529" t="str">
        <f>IF(TITLE_NAME_OR_PR_CHANGE="",IF(TITLE_NAME_OR_PR="","",TITLE_NAME_OR_PR),TITLE_NAME_OR_PR_CHANGE)</f>
        <v/>
      </c>
      <c r="BD27" s="9529"/>
      <c r="BE27" s="9529"/>
      <c r="BF27" s="9529"/>
      <c r="BG27" s="9529"/>
      <c r="BH27" s="9529"/>
      <c r="BI27" s="9529"/>
      <c r="BJ27" s="9529"/>
      <c r="BK27" s="9529"/>
      <c r="BL27" s="9529"/>
      <c r="BM27" s="9408"/>
      <c r="BN27" s="9529" t="str">
        <f>IF(TITLE_NAME_OR_PR_CHANGE="",IF(TITLE_NAME_OR_PR="","",TITLE_NAME_OR_PR),TITLE_NAME_OR_PR_CHANGE)</f>
        <v/>
      </c>
      <c r="BO27" s="9529"/>
      <c r="BP27" s="9529"/>
      <c r="BQ27" s="9529"/>
      <c r="BR27" s="9529"/>
      <c r="BS27" s="9529"/>
      <c r="BT27" s="9529"/>
      <c r="BU27" s="9529"/>
      <c r="BV27" s="9529"/>
      <c r="BW27" s="9529"/>
      <c r="BX27" s="9408"/>
      <c r="BY27" s="553"/>
      <c r="BZ27" s="507"/>
      <c r="CA27" s="595"/>
      <c r="CB27" s="595"/>
      <c r="CC27" s="595"/>
      <c r="CD27" s="595"/>
      <c r="CE27" s="595"/>
      <c r="CF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2491"/>
      <c r="AC28" s="2491"/>
      <c r="AD28" s="2491"/>
      <c r="AE28" s="2491"/>
      <c r="AF28" s="553"/>
      <c r="AG28" s="2491" t="str">
        <f>IF(TITLE_DATE_PR_CHANGE="",IF(TITLE_DATE_PR="","",TITLE_DATE_PR),TITLE_DATE_PR_CHANGE)</f>
        <v>45408</v>
      </c>
      <c r="AH28" s="2491"/>
      <c r="AI28" s="2491"/>
      <c r="AJ28" s="2491"/>
      <c r="AK28" s="2491"/>
      <c r="AL28" s="2491"/>
      <c r="AM28" s="2491"/>
      <c r="AN28" s="2491"/>
      <c r="AO28" s="2491"/>
      <c r="AP28" s="2491"/>
      <c r="AQ28" s="553"/>
      <c r="AR28" s="9530" t="str">
        <f>IF(TITLE_DATE_PR_CHANGE="",IF(TITLE_DATE_PR="","",TITLE_DATE_PR),TITLE_DATE_PR_CHANGE)</f>
        <v>45408</v>
      </c>
      <c r="AS28" s="9530"/>
      <c r="AT28" s="9530"/>
      <c r="AU28" s="9530"/>
      <c r="AV28" s="9530"/>
      <c r="AW28" s="9530"/>
      <c r="AX28" s="9530"/>
      <c r="AY28" s="9530"/>
      <c r="AZ28" s="9530"/>
      <c r="BA28" s="9530"/>
      <c r="BB28" s="9408"/>
      <c r="BC28" s="9530" t="str">
        <f>IF(TITLE_DATE_PR_CHANGE="",IF(TITLE_DATE_PR="","",TITLE_DATE_PR),TITLE_DATE_PR_CHANGE)</f>
        <v>45408</v>
      </c>
      <c r="BD28" s="9530"/>
      <c r="BE28" s="9530"/>
      <c r="BF28" s="9530"/>
      <c r="BG28" s="9530"/>
      <c r="BH28" s="9530"/>
      <c r="BI28" s="9530"/>
      <c r="BJ28" s="9530"/>
      <c r="BK28" s="9530"/>
      <c r="BL28" s="9530"/>
      <c r="BM28" s="9408"/>
      <c r="BN28" s="9530" t="str">
        <f>IF(TITLE_DATE_PR_CHANGE="",IF(TITLE_DATE_PR="","",TITLE_DATE_PR),TITLE_DATE_PR_CHANGE)</f>
        <v>45408</v>
      </c>
      <c r="BO28" s="9530"/>
      <c r="BP28" s="9530"/>
      <c r="BQ28" s="9530"/>
      <c r="BR28" s="9530"/>
      <c r="BS28" s="9530"/>
      <c r="BT28" s="9530"/>
      <c r="BU28" s="9530"/>
      <c r="BV28" s="9530"/>
      <c r="BW28" s="9530"/>
      <c r="BX28" s="9408"/>
      <c r="BY28" s="553"/>
      <c r="BZ28" s="507"/>
      <c r="CA28" s="595"/>
      <c r="CB28" s="595"/>
      <c r="CC28" s="595"/>
      <c r="CD28" s="595"/>
      <c r="CE28" s="595"/>
      <c r="CF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2478"/>
      <c r="AC29" s="2478"/>
      <c r="AD29" s="2478"/>
      <c r="AE29" s="2478"/>
      <c r="AF29" s="553"/>
      <c r="AG29" s="2478" t="str">
        <f>IF(TITLE_NUMBER_PR_CHANGE="",IF(TITLE_NUMBER_PR="","",TITLE_NUMBER_PR),TITLE_NUMBER_PR_CHANGE)</f>
        <v>04/4240</v>
      </c>
      <c r="AH29" s="2478"/>
      <c r="AI29" s="2478"/>
      <c r="AJ29" s="2478"/>
      <c r="AK29" s="2478"/>
      <c r="AL29" s="2478"/>
      <c r="AM29" s="2478"/>
      <c r="AN29" s="2478"/>
      <c r="AO29" s="2478"/>
      <c r="AP29" s="2478"/>
      <c r="AQ29" s="553"/>
      <c r="AR29" s="9529" t="str">
        <f>IF(TITLE_NUMBER_PR_CHANGE="",IF(TITLE_NUMBER_PR="","",TITLE_NUMBER_PR),TITLE_NUMBER_PR_CHANGE)</f>
        <v>04/4240</v>
      </c>
      <c r="AS29" s="9529"/>
      <c r="AT29" s="9529"/>
      <c r="AU29" s="9529"/>
      <c r="AV29" s="9529"/>
      <c r="AW29" s="9529"/>
      <c r="AX29" s="9529"/>
      <c r="AY29" s="9529"/>
      <c r="AZ29" s="9529"/>
      <c r="BA29" s="9529"/>
      <c r="BB29" s="9408"/>
      <c r="BC29" s="9529" t="str">
        <f>IF(TITLE_NUMBER_PR_CHANGE="",IF(TITLE_NUMBER_PR="","",TITLE_NUMBER_PR),TITLE_NUMBER_PR_CHANGE)</f>
        <v>04/4240</v>
      </c>
      <c r="BD29" s="9529"/>
      <c r="BE29" s="9529"/>
      <c r="BF29" s="9529"/>
      <c r="BG29" s="9529"/>
      <c r="BH29" s="9529"/>
      <c r="BI29" s="9529"/>
      <c r="BJ29" s="9529"/>
      <c r="BK29" s="9529"/>
      <c r="BL29" s="9529"/>
      <c r="BM29" s="9408"/>
      <c r="BN29" s="9529" t="str">
        <f>IF(TITLE_NUMBER_PR_CHANGE="",IF(TITLE_NUMBER_PR="","",TITLE_NUMBER_PR),TITLE_NUMBER_PR_CHANGE)</f>
        <v>04/4240</v>
      </c>
      <c r="BO29" s="9529"/>
      <c r="BP29" s="9529"/>
      <c r="BQ29" s="9529"/>
      <c r="BR29" s="9529"/>
      <c r="BS29" s="9529"/>
      <c r="BT29" s="9529"/>
      <c r="BU29" s="9529"/>
      <c r="BV29" s="9529"/>
      <c r="BW29" s="9529"/>
      <c r="BX29" s="9408"/>
      <c r="BY29" s="553"/>
      <c r="BZ29" s="507"/>
      <c r="CA29" s="595"/>
      <c r="CB29" s="595"/>
      <c r="CC29" s="595"/>
      <c r="CD29" s="595"/>
      <c r="CE29" s="595"/>
      <c r="CF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9529" t="str">
        <f>IF(TITLE_IST_PUB_CHANGE="",IF(TITLE_IST_PUB="","",TITLE_IST_PUB),TITLE_IST_PUB_CHANGE)</f>
        <v/>
      </c>
      <c r="AS30" s="9529"/>
      <c r="AT30" s="9529"/>
      <c r="AU30" s="9529"/>
      <c r="AV30" s="9529"/>
      <c r="AW30" s="9529"/>
      <c r="AX30" s="9529"/>
      <c r="AY30" s="9529"/>
      <c r="AZ30" s="9529"/>
      <c r="BA30" s="9529"/>
      <c r="BB30" s="9408"/>
      <c r="BC30" s="9529" t="str">
        <f>IF(TITLE_IST_PUB_CHANGE="",IF(TITLE_IST_PUB="","",TITLE_IST_PUB),TITLE_IST_PUB_CHANGE)</f>
        <v/>
      </c>
      <c r="BD30" s="9529"/>
      <c r="BE30" s="9529"/>
      <c r="BF30" s="9529"/>
      <c r="BG30" s="9529"/>
      <c r="BH30" s="9529"/>
      <c r="BI30" s="9529"/>
      <c r="BJ30" s="9529"/>
      <c r="BK30" s="9529"/>
      <c r="BL30" s="9529"/>
      <c r="BM30" s="9408"/>
      <c r="BN30" s="9529" t="str">
        <f>IF(TITLE_IST_PUB_CHANGE="",IF(TITLE_IST_PUB="","",TITLE_IST_PUB),TITLE_IST_PUB_CHANGE)</f>
        <v/>
      </c>
      <c r="BO30" s="9529"/>
      <c r="BP30" s="9529"/>
      <c r="BQ30" s="9529"/>
      <c r="BR30" s="9529"/>
      <c r="BS30" s="9529"/>
      <c r="BT30" s="9529"/>
      <c r="BU30" s="9529"/>
      <c r="BV30" s="9529"/>
      <c r="BW30" s="9529"/>
      <c r="BX30" s="9408"/>
      <c r="BY30" s="553"/>
      <c r="BZ30" s="507"/>
      <c r="CA30" s="595"/>
      <c r="CB30" s="595"/>
      <c r="CC30" s="595"/>
      <c r="CD30" s="595"/>
      <c r="CE30" s="595"/>
      <c r="CF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9528"/>
      <c r="AS31" s="9528"/>
      <c r="AT31" s="9528"/>
      <c r="AU31" s="9528"/>
      <c r="AV31" s="9528"/>
      <c r="AW31" s="9528"/>
      <c r="AX31" s="9528"/>
      <c r="AY31" s="9528"/>
      <c r="AZ31" s="9528"/>
      <c r="BA31" s="9528"/>
      <c r="BB31" s="9528"/>
      <c r="BC31" s="9528"/>
      <c r="BD31" s="9528"/>
      <c r="BE31" s="9528"/>
      <c r="BF31" s="9528"/>
      <c r="BG31" s="9528"/>
      <c r="BH31" s="9528"/>
      <c r="BI31" s="9528"/>
      <c r="BJ31" s="9528"/>
      <c r="BK31" s="9528"/>
      <c r="BL31" s="9528"/>
      <c r="BM31" s="9528"/>
      <c r="BN31" s="9528"/>
      <c r="BO31" s="9528"/>
      <c r="BP31" s="9528"/>
      <c r="BQ31" s="9528"/>
      <c r="BR31" s="9528"/>
      <c r="BS31" s="9528"/>
      <c r="BT31" s="9528"/>
      <c r="BU31" s="9528"/>
      <c r="BV31" s="9528"/>
      <c r="BW31" s="9528"/>
      <c r="BX31" s="9528"/>
      <c r="BY31" s="736"/>
      <c r="CF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2491"/>
      <c r="AC32" s="2491"/>
      <c r="AD32" s="2491"/>
      <c r="AE32" s="2491"/>
      <c r="AF32" s="553"/>
      <c r="AG32" s="2491" t="str">
        <f>IF(TITLE_DATE_PR_CHANGE="",IF(TITLE_DATE_PR="","",TITLE_DATE_PR),TITLE_DATE_PR_CHANGE)</f>
        <v>45408</v>
      </c>
      <c r="AH32" s="2491"/>
      <c r="AI32" s="2491"/>
      <c r="AJ32" s="2491"/>
      <c r="AK32" s="2491"/>
      <c r="AL32" s="2491"/>
      <c r="AM32" s="2491"/>
      <c r="AN32" s="2491"/>
      <c r="AO32" s="2491"/>
      <c r="AP32" s="2491"/>
      <c r="AQ32" s="553"/>
      <c r="AR32" s="9530" t="str">
        <f>IF(TITLE_DATE_PR_CHANGE="",IF(TITLE_DATE_PR="","",TITLE_DATE_PR),TITLE_DATE_PR_CHANGE)</f>
        <v>45408</v>
      </c>
      <c r="AS32" s="9530"/>
      <c r="AT32" s="9530"/>
      <c r="AU32" s="9530"/>
      <c r="AV32" s="9530"/>
      <c r="AW32" s="9530"/>
      <c r="AX32" s="9530"/>
      <c r="AY32" s="9530"/>
      <c r="AZ32" s="9530"/>
      <c r="BA32" s="9530"/>
      <c r="BB32" s="9408"/>
      <c r="BC32" s="9530" t="str">
        <f>IF(TITLE_DATE_PR_CHANGE="",IF(TITLE_DATE_PR="","",TITLE_DATE_PR),TITLE_DATE_PR_CHANGE)</f>
        <v>45408</v>
      </c>
      <c r="BD32" s="9530"/>
      <c r="BE32" s="9530"/>
      <c r="BF32" s="9530"/>
      <c r="BG32" s="9530"/>
      <c r="BH32" s="9530"/>
      <c r="BI32" s="9530"/>
      <c r="BJ32" s="9530"/>
      <c r="BK32" s="9530"/>
      <c r="BL32" s="9530"/>
      <c r="BM32" s="9408"/>
      <c r="BN32" s="9530" t="str">
        <f>IF(TITLE_DATE_PR_CHANGE="",IF(TITLE_DATE_PR="","",TITLE_DATE_PR),TITLE_DATE_PR_CHANGE)</f>
        <v>45408</v>
      </c>
      <c r="BO32" s="9530"/>
      <c r="BP32" s="9530"/>
      <c r="BQ32" s="9530"/>
      <c r="BR32" s="9530"/>
      <c r="BS32" s="9530"/>
      <c r="BT32" s="9530"/>
      <c r="BU32" s="9530"/>
      <c r="BV32" s="9530"/>
      <c r="BW32" s="9530"/>
      <c r="BX32" s="9408"/>
      <c r="BY32" s="553"/>
      <c r="BZ32" s="507"/>
      <c r="CA32" s="595"/>
      <c r="CB32" s="595"/>
      <c r="CC32" s="595"/>
      <c r="CD32" s="595"/>
      <c r="CE32" s="595"/>
      <c r="CF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2478"/>
      <c r="AC33" s="2478"/>
      <c r="AD33" s="2478"/>
      <c r="AE33" s="2478"/>
      <c r="AF33" s="553"/>
      <c r="AG33" s="2478" t="str">
        <f>IF(TITLE_NUMBER_PR_CHANGE="",IF(TITLE_NUMBER_PR="","",TITLE_NUMBER_PR),TITLE_NUMBER_PR_CHANGE)</f>
        <v>04/4240</v>
      </c>
      <c r="AH33" s="2478"/>
      <c r="AI33" s="2478"/>
      <c r="AJ33" s="2478"/>
      <c r="AK33" s="2478"/>
      <c r="AL33" s="2478"/>
      <c r="AM33" s="2478"/>
      <c r="AN33" s="2478"/>
      <c r="AO33" s="2478"/>
      <c r="AP33" s="2478"/>
      <c r="AQ33" s="553"/>
      <c r="AR33" s="9529" t="str">
        <f>IF(TITLE_NUMBER_PR_CHANGE="",IF(TITLE_NUMBER_PR="","",TITLE_NUMBER_PR),TITLE_NUMBER_PR_CHANGE)</f>
        <v>04/4240</v>
      </c>
      <c r="AS33" s="9529"/>
      <c r="AT33" s="9529"/>
      <c r="AU33" s="9529"/>
      <c r="AV33" s="9529"/>
      <c r="AW33" s="9529"/>
      <c r="AX33" s="9529"/>
      <c r="AY33" s="9529"/>
      <c r="AZ33" s="9529"/>
      <c r="BA33" s="9529"/>
      <c r="BB33" s="9408"/>
      <c r="BC33" s="9529" t="str">
        <f>IF(TITLE_NUMBER_PR_CHANGE="",IF(TITLE_NUMBER_PR="","",TITLE_NUMBER_PR),TITLE_NUMBER_PR_CHANGE)</f>
        <v>04/4240</v>
      </c>
      <c r="BD33" s="9529"/>
      <c r="BE33" s="9529"/>
      <c r="BF33" s="9529"/>
      <c r="BG33" s="9529"/>
      <c r="BH33" s="9529"/>
      <c r="BI33" s="9529"/>
      <c r="BJ33" s="9529"/>
      <c r="BK33" s="9529"/>
      <c r="BL33" s="9529"/>
      <c r="BM33" s="9408"/>
      <c r="BN33" s="9529" t="str">
        <f>IF(TITLE_NUMBER_PR_CHANGE="",IF(TITLE_NUMBER_PR="","",TITLE_NUMBER_PR),TITLE_NUMBER_PR_CHANGE)</f>
        <v>04/4240</v>
      </c>
      <c r="BO33" s="9529"/>
      <c r="BP33" s="9529"/>
      <c r="BQ33" s="9529"/>
      <c r="BR33" s="9529"/>
      <c r="BS33" s="9529"/>
      <c r="BT33" s="9529"/>
      <c r="BU33" s="9529"/>
      <c r="BV33" s="9529"/>
      <c r="BW33" s="9529"/>
      <c r="BX33" s="9408"/>
      <c r="BY33" s="553"/>
      <c r="BZ33" s="507"/>
      <c r="CA33" s="595"/>
      <c r="CB33" s="595"/>
      <c r="CC33" s="595"/>
      <c r="CD33" s="595"/>
      <c r="CE33" s="595"/>
      <c r="CF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R34" s="9408"/>
      <c r="AS34" s="9408"/>
      <c r="AT34" s="9408"/>
      <c r="AU34" s="9408"/>
      <c r="AV34" s="9408"/>
      <c r="AW34" s="9408"/>
      <c r="AX34" s="9408"/>
      <c r="AY34" s="9408"/>
      <c r="AZ34" s="9408"/>
      <c r="BA34" s="9408"/>
      <c r="BB34" s="9531" t="s">
        <v>427</v>
      </c>
      <c r="BC34" s="9408"/>
      <c r="BD34" s="9408"/>
      <c r="BE34" s="9408"/>
      <c r="BF34" s="9408"/>
      <c r="BG34" s="9408"/>
      <c r="BH34" s="9408"/>
      <c r="BI34" s="9408"/>
      <c r="BJ34" s="9408"/>
      <c r="BK34" s="9408"/>
      <c r="BL34" s="9408"/>
      <c r="BM34" s="9531" t="s">
        <v>427</v>
      </c>
      <c r="BN34" s="9408"/>
      <c r="BO34" s="9408"/>
      <c r="BP34" s="9408"/>
      <c r="BQ34" s="9408"/>
      <c r="BR34" s="9408"/>
      <c r="BS34" s="9408"/>
      <c r="BT34" s="9408"/>
      <c r="BU34" s="9408"/>
      <c r="BV34" s="9408"/>
      <c r="BW34" s="9408"/>
      <c r="BX34" s="9531" t="s">
        <v>427</v>
      </c>
      <c r="CA34" s="595"/>
      <c r="CB34" s="595"/>
      <c r="CC34" s="595"/>
      <c r="CD34" s="595"/>
      <c r="CE34" s="595"/>
      <c r="CF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R35" s="9532" t="s">
        <v>531</v>
      </c>
      <c r="AS35" s="9532"/>
      <c r="AT35" s="9532"/>
      <c r="AU35" s="9532"/>
      <c r="AV35" s="9532"/>
      <c r="AW35" s="9532"/>
      <c r="AX35" s="9532"/>
      <c r="AY35" s="9532"/>
      <c r="AZ35" s="9532"/>
      <c r="BA35" s="9532"/>
      <c r="BB35" s="9532"/>
      <c r="BC35" s="9532" t="s">
        <v>531</v>
      </c>
      <c r="BD35" s="9532"/>
      <c r="BE35" s="9532"/>
      <c r="BF35" s="9532"/>
      <c r="BG35" s="9532"/>
      <c r="BH35" s="9532"/>
      <c r="BI35" s="9532"/>
      <c r="BJ35" s="9532"/>
      <c r="BK35" s="9532"/>
      <c r="BL35" s="9532"/>
      <c r="BM35" s="9532"/>
      <c r="BN35" s="9532" t="s">
        <v>531</v>
      </c>
      <c r="BO35" s="9532"/>
      <c r="BP35" s="9532"/>
      <c r="BQ35" s="9532"/>
      <c r="BR35" s="9532"/>
      <c r="BS35" s="9532"/>
      <c r="BT35" s="9532"/>
      <c r="BU35" s="9532"/>
      <c r="BV35" s="9532"/>
      <c r="BW35" s="9532"/>
      <c r="BX35" s="9532"/>
      <c r="CF35" s="1382">
        <v>14</v>
      </c>
    </row>
    <row customHeight="1" ht="15">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9533" t="s">
        <v>302</v>
      </c>
      <c r="AS36" s="9533"/>
      <c r="AT36" s="9533"/>
      <c r="AU36" s="9533"/>
      <c r="AV36" s="9533"/>
      <c r="AW36" s="9533"/>
      <c r="AX36" s="9533"/>
      <c r="AY36" s="9533"/>
      <c r="AZ36" s="9533"/>
      <c r="BA36" s="9533"/>
      <c r="BB36" s="9533"/>
      <c r="BC36" s="9533" t="s">
        <v>302</v>
      </c>
      <c r="BD36" s="9533"/>
      <c r="BE36" s="9533"/>
      <c r="BF36" s="9533"/>
      <c r="BG36" s="9533"/>
      <c r="BH36" s="9533"/>
      <c r="BI36" s="9533"/>
      <c r="BJ36" s="9533"/>
      <c r="BK36" s="9533"/>
      <c r="BL36" s="9533"/>
      <c r="BM36" s="9533"/>
      <c r="BN36" s="9533" t="s">
        <v>302</v>
      </c>
      <c r="BO36" s="9533"/>
      <c r="BP36" s="9533"/>
      <c r="BQ36" s="9533"/>
      <c r="BR36" s="9533"/>
      <c r="BS36" s="9533"/>
      <c r="BT36" s="9533"/>
      <c r="BU36" s="9533"/>
      <c r="BV36" s="9533"/>
      <c r="BW36" s="9533"/>
      <c r="BX36" s="9533"/>
      <c r="BY36" s="2354"/>
      <c r="BZ36" s="2354"/>
      <c r="CF36" s="1382"/>
    </row>
    <row customHeight="1" ht="14.699999999999998">
      <c r="Q37" s="603"/>
      <c r="R37" s="603"/>
      <c r="S37" s="2500" t="s">
        <v>87</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9534" t="s">
        <v>429</v>
      </c>
      <c r="AS37" s="9535"/>
      <c r="AT37" s="9535"/>
      <c r="AU37" s="9535"/>
      <c r="AV37" s="9535"/>
      <c r="AW37" s="9535"/>
      <c r="AX37" s="9535"/>
      <c r="AY37" s="9536"/>
      <c r="AZ37" s="9536"/>
      <c r="BA37" s="9537"/>
      <c r="BB37" s="9538" t="s">
        <v>430</v>
      </c>
      <c r="BC37" s="9534" t="s">
        <v>429</v>
      </c>
      <c r="BD37" s="9535"/>
      <c r="BE37" s="9535"/>
      <c r="BF37" s="9535"/>
      <c r="BG37" s="9535"/>
      <c r="BH37" s="9535"/>
      <c r="BI37" s="9535"/>
      <c r="BJ37" s="9536"/>
      <c r="BK37" s="9536"/>
      <c r="BL37" s="9537"/>
      <c r="BM37" s="9538" t="s">
        <v>430</v>
      </c>
      <c r="BN37" s="9534" t="s">
        <v>429</v>
      </c>
      <c r="BO37" s="9535"/>
      <c r="BP37" s="9535"/>
      <c r="BQ37" s="9535"/>
      <c r="BR37" s="9535"/>
      <c r="BS37" s="9535"/>
      <c r="BT37" s="9535"/>
      <c r="BU37" s="9536"/>
      <c r="BV37" s="9536"/>
      <c r="BW37" s="9537"/>
      <c r="BX37" s="9538" t="s">
        <v>430</v>
      </c>
      <c r="BY37" s="2507" t="s">
        <v>432</v>
      </c>
      <c r="BZ37" s="2354"/>
      <c r="CF37" s="1382">
        <v>14</v>
      </c>
    </row>
    <row customHeight="1" ht="19.95">
      <c r="Q38" s="603"/>
      <c r="R38" s="603"/>
      <c r="S38" s="2500"/>
      <c r="T38" s="2436"/>
      <c r="U38" s="1258"/>
      <c r="V38" s="2593" t="s">
        <v>532</v>
      </c>
      <c r="W38" s="2592" t="s">
        <v>533</v>
      </c>
      <c r="X38" s="2592"/>
      <c r="Y38" s="2592"/>
      <c r="Z38" s="2592" t="s">
        <v>534</v>
      </c>
      <c r="AA38" s="2592"/>
      <c r="AB38" s="2592"/>
      <c r="AC38" s="2521" t="s">
        <v>436</v>
      </c>
      <c r="AD38" s="2540"/>
      <c r="AE38" s="2541"/>
      <c r="AF38" s="2505"/>
      <c r="AG38" s="2593" t="s">
        <v>532</v>
      </c>
      <c r="AH38" s="2592" t="s">
        <v>533</v>
      </c>
      <c r="AI38" s="2592"/>
      <c r="AJ38" s="2592"/>
      <c r="AK38" s="2592" t="s">
        <v>534</v>
      </c>
      <c r="AL38" s="2592"/>
      <c r="AM38" s="2592"/>
      <c r="AN38" s="2521" t="s">
        <v>436</v>
      </c>
      <c r="AO38" s="2540"/>
      <c r="AP38" s="2541"/>
      <c r="AQ38" s="2505"/>
      <c r="AR38" s="9533" t="s">
        <v>532</v>
      </c>
      <c r="AS38" s="9541" t="s">
        <v>533</v>
      </c>
      <c r="AT38" s="9541"/>
      <c r="AU38" s="9541"/>
      <c r="AV38" s="9541" t="s">
        <v>534</v>
      </c>
      <c r="AW38" s="9541"/>
      <c r="AX38" s="9541"/>
      <c r="AY38" s="9542" t="s">
        <v>436</v>
      </c>
      <c r="AZ38" s="9543"/>
      <c r="BA38" s="9544"/>
      <c r="BB38" s="9545"/>
      <c r="BC38" s="9533" t="s">
        <v>532</v>
      </c>
      <c r="BD38" s="9541" t="s">
        <v>533</v>
      </c>
      <c r="BE38" s="9541"/>
      <c r="BF38" s="9541"/>
      <c r="BG38" s="9541" t="s">
        <v>534</v>
      </c>
      <c r="BH38" s="9541"/>
      <c r="BI38" s="9541"/>
      <c r="BJ38" s="9542" t="s">
        <v>436</v>
      </c>
      <c r="BK38" s="9543"/>
      <c r="BL38" s="9544"/>
      <c r="BM38" s="9545"/>
      <c r="BN38" s="9533" t="s">
        <v>532</v>
      </c>
      <c r="BO38" s="9541" t="s">
        <v>533</v>
      </c>
      <c r="BP38" s="9541"/>
      <c r="BQ38" s="9541"/>
      <c r="BR38" s="9541" t="s">
        <v>534</v>
      </c>
      <c r="BS38" s="9541"/>
      <c r="BT38" s="9541"/>
      <c r="BU38" s="9542" t="s">
        <v>436</v>
      </c>
      <c r="BV38" s="9543"/>
      <c r="BW38" s="9544"/>
      <c r="BX38" s="9545"/>
      <c r="BY38" s="2508"/>
      <c r="BZ38" s="2354"/>
      <c r="CF38" s="1382">
        <v>19</v>
      </c>
    </row>
    <row s="1116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535</v>
      </c>
      <c r="X39" s="2592" t="s">
        <v>536</v>
      </c>
      <c r="Y39" s="2592"/>
      <c r="Z39" s="2592" t="s">
        <v>537</v>
      </c>
      <c r="AA39" s="2592" t="s">
        <v>536</v>
      </c>
      <c r="AB39" s="2592"/>
      <c r="AC39" s="2522"/>
      <c r="AD39" s="2542"/>
      <c r="AE39" s="2543"/>
      <c r="AF39" s="2505"/>
      <c r="AG39" s="2593"/>
      <c r="AH39" s="2592" t="s">
        <v>535</v>
      </c>
      <c r="AI39" s="2592" t="s">
        <v>536</v>
      </c>
      <c r="AJ39" s="2592"/>
      <c r="AK39" s="2592" t="s">
        <v>537</v>
      </c>
      <c r="AL39" s="2592" t="s">
        <v>536</v>
      </c>
      <c r="AM39" s="2592"/>
      <c r="AN39" s="2522"/>
      <c r="AO39" s="2542"/>
      <c r="AP39" s="2543"/>
      <c r="AQ39" s="2505"/>
      <c r="AR39" s="9533"/>
      <c r="AS39" s="9541" t="s">
        <v>535</v>
      </c>
      <c r="AT39" s="9541" t="s">
        <v>536</v>
      </c>
      <c r="AU39" s="9541"/>
      <c r="AV39" s="9541" t="s">
        <v>537</v>
      </c>
      <c r="AW39" s="9541" t="s">
        <v>536</v>
      </c>
      <c r="AX39" s="9541"/>
      <c r="AY39" s="9547"/>
      <c r="AZ39" s="9548"/>
      <c r="BA39" s="9549"/>
      <c r="BB39" s="9545"/>
      <c r="BC39" s="9533"/>
      <c r="BD39" s="9541" t="s">
        <v>535</v>
      </c>
      <c r="BE39" s="9541" t="s">
        <v>536</v>
      </c>
      <c r="BF39" s="9541"/>
      <c r="BG39" s="9541" t="s">
        <v>537</v>
      </c>
      <c r="BH39" s="9541" t="s">
        <v>536</v>
      </c>
      <c r="BI39" s="9541"/>
      <c r="BJ39" s="9547"/>
      <c r="BK39" s="9548"/>
      <c r="BL39" s="9549"/>
      <c r="BM39" s="9545"/>
      <c r="BN39" s="9533"/>
      <c r="BO39" s="9541" t="s">
        <v>535</v>
      </c>
      <c r="BP39" s="9541" t="s">
        <v>536</v>
      </c>
      <c r="BQ39" s="9541"/>
      <c r="BR39" s="9541" t="s">
        <v>537</v>
      </c>
      <c r="BS39" s="9541" t="s">
        <v>536</v>
      </c>
      <c r="BT39" s="9541"/>
      <c r="BU39" s="9547"/>
      <c r="BV39" s="9548"/>
      <c r="BW39" s="9549"/>
      <c r="BX39" s="9545"/>
      <c r="BY39" s="2508"/>
      <c r="BZ39" s="2354"/>
      <c r="CA39" s="1863"/>
      <c r="CB39" s="1863"/>
      <c r="CC39" s="1863"/>
      <c r="CD39" s="1863"/>
      <c r="CE39" s="1863"/>
      <c r="CF39" s="1858">
        <v>19</v>
      </c>
    </row>
    <row customHeight="1" ht="61.949999999999996">
      <c r="A40" s="1597"/>
      <c r="B40" s="1597" t="s">
        <v>134</v>
      </c>
      <c r="C40" s="1597" t="s">
        <v>135</v>
      </c>
      <c r="D40" s="1597" t="s">
        <v>136</v>
      </c>
      <c r="E40" s="1591" t="s">
        <v>437</v>
      </c>
      <c r="F40" s="1591" t="s">
        <v>438</v>
      </c>
      <c r="G40" s="1591" t="s">
        <v>439</v>
      </c>
      <c r="H40" s="1591"/>
      <c r="I40" s="1591" t="s">
        <v>489</v>
      </c>
      <c r="J40" s="1591" t="s">
        <v>442</v>
      </c>
      <c r="K40" s="1591" t="s">
        <v>490</v>
      </c>
      <c r="L40" s="1591" t="s">
        <v>418</v>
      </c>
      <c r="Q40" s="603"/>
      <c r="R40" s="603"/>
      <c r="S40" s="2500"/>
      <c r="T40" s="2436"/>
      <c r="U40" s="529"/>
      <c r="V40" s="2593"/>
      <c r="W40" s="2592"/>
      <c r="X40" s="2210" t="s">
        <v>538</v>
      </c>
      <c r="Y40" s="2210" t="s">
        <v>539</v>
      </c>
      <c r="Z40" s="2592"/>
      <c r="AA40" s="2210" t="s">
        <v>540</v>
      </c>
      <c r="AB40" s="2210" t="s">
        <v>541</v>
      </c>
      <c r="AC40" s="1716" t="s">
        <v>446</v>
      </c>
      <c r="AD40" s="2497" t="s">
        <v>447</v>
      </c>
      <c r="AE40" s="2498"/>
      <c r="AF40" s="2506"/>
      <c r="AG40" s="2593"/>
      <c r="AH40" s="2592"/>
      <c r="AI40" s="2210" t="s">
        <v>538</v>
      </c>
      <c r="AJ40" s="2210" t="s">
        <v>539</v>
      </c>
      <c r="AK40" s="2592"/>
      <c r="AL40" s="2210" t="s">
        <v>540</v>
      </c>
      <c r="AM40" s="2210" t="s">
        <v>541</v>
      </c>
      <c r="AN40" s="1716" t="s">
        <v>446</v>
      </c>
      <c r="AO40" s="2497" t="s">
        <v>447</v>
      </c>
      <c r="AP40" s="2498"/>
      <c r="AQ40" s="2506"/>
      <c r="AR40" s="9533"/>
      <c r="AS40" s="9541"/>
      <c r="AT40" s="9541" t="s">
        <v>538</v>
      </c>
      <c r="AU40" s="9541" t="s">
        <v>539</v>
      </c>
      <c r="AV40" s="9541"/>
      <c r="AW40" s="9541" t="s">
        <v>540</v>
      </c>
      <c r="AX40" s="9541" t="s">
        <v>541</v>
      </c>
      <c r="AY40" s="9551" t="s">
        <v>446</v>
      </c>
      <c r="AZ40" s="9552" t="s">
        <v>447</v>
      </c>
      <c r="BA40" s="9553"/>
      <c r="BB40" s="9554"/>
      <c r="BC40" s="9533"/>
      <c r="BD40" s="9541"/>
      <c r="BE40" s="9541" t="s">
        <v>538</v>
      </c>
      <c r="BF40" s="9541" t="s">
        <v>539</v>
      </c>
      <c r="BG40" s="9541"/>
      <c r="BH40" s="9541" t="s">
        <v>540</v>
      </c>
      <c r="BI40" s="9541" t="s">
        <v>541</v>
      </c>
      <c r="BJ40" s="9551" t="s">
        <v>446</v>
      </c>
      <c r="BK40" s="9552" t="s">
        <v>447</v>
      </c>
      <c r="BL40" s="9553"/>
      <c r="BM40" s="9554"/>
      <c r="BN40" s="9533"/>
      <c r="BO40" s="9541"/>
      <c r="BP40" s="9541" t="s">
        <v>538</v>
      </c>
      <c r="BQ40" s="9541" t="s">
        <v>539</v>
      </c>
      <c r="BR40" s="9541"/>
      <c r="BS40" s="9541" t="s">
        <v>540</v>
      </c>
      <c r="BT40" s="9541" t="s">
        <v>541</v>
      </c>
      <c r="BU40" s="9551" t="s">
        <v>446</v>
      </c>
      <c r="BV40" s="9552" t="s">
        <v>447</v>
      </c>
      <c r="BW40" s="9553"/>
      <c r="BX40" s="9554"/>
      <c r="BY40" s="2509"/>
      <c r="BZ40" s="2354"/>
      <c r="CF40" s="1382">
        <v>59</v>
      </c>
    </row>
    <row s="1180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9555">
        <f>OFFSET(AR41,0,-1)+1</f>
        <v>5</v>
      </c>
      <c r="AS41" s="9556"/>
      <c r="AT41" s="9556"/>
      <c r="AU41" s="9556"/>
      <c r="AV41" s="9556"/>
      <c r="AW41" s="9556"/>
      <c r="AX41" s="9556"/>
      <c r="AY41" s="9555">
        <f>OFFSET(AY41,0,-1)+1</f>
        <v>1</v>
      </c>
      <c r="AZ41" s="9555">
        <f>OFFSET(AZ41,0,-1)+1</f>
        <v>2</v>
      </c>
      <c r="BA41" s="9555"/>
      <c r="BB41" s="9555">
        <f>OFFSET(BB41,0,-2)+1</f>
        <v>3</v>
      </c>
      <c r="BC41" s="9555">
        <f>OFFSET(BC41,0,-1)+1</f>
        <v>4</v>
      </c>
      <c r="BD41" s="9556"/>
      <c r="BE41" s="9556"/>
      <c r="BF41" s="9556"/>
      <c r="BG41" s="9556"/>
      <c r="BH41" s="9556"/>
      <c r="BI41" s="9556"/>
      <c r="BJ41" s="9555">
        <f>OFFSET(BJ41,0,-1)+1</f>
        <v>1</v>
      </c>
      <c r="BK41" s="9555">
        <f>OFFSET(BK41,0,-1)+1</f>
        <v>2</v>
      </c>
      <c r="BL41" s="9555"/>
      <c r="BM41" s="9555">
        <f>OFFSET(BM41,0,-2)+1</f>
        <v>3</v>
      </c>
      <c r="BN41" s="9555">
        <f>OFFSET(BN41,0,-1)+1</f>
        <v>4</v>
      </c>
      <c r="BO41" s="9556"/>
      <c r="BP41" s="9556"/>
      <c r="BQ41" s="9556"/>
      <c r="BR41" s="9556"/>
      <c r="BS41" s="9556"/>
      <c r="BT41" s="9556"/>
      <c r="BU41" s="9555">
        <f>OFFSET(BU41,0,-1)+1</f>
        <v>1</v>
      </c>
      <c r="BV41" s="9555">
        <f>OFFSET(BV41,0,-1)+1</f>
        <v>2</v>
      </c>
      <c r="BW41" s="9555"/>
      <c r="BX41" s="9555">
        <f>OFFSET(BX41,0,-2)+1</f>
        <v>3</v>
      </c>
      <c r="BY41" s="1472">
        <f>OFFSET(BY41,0,-1)</f>
        <v>3</v>
      </c>
      <c r="BZ41" s="1709">
        <f>OFFSET(BZ41,0,-1)+1</f>
        <v>4</v>
      </c>
      <c r="CA41" s="738"/>
      <c r="CB41" s="738"/>
      <c r="CC41" s="738"/>
      <c r="CD41" s="738"/>
      <c r="CE41" s="738"/>
      <c r="CF41" s="723">
        <v>0</v>
      </c>
    </row>
    <row customHeight="1" ht="24">
      <c r="A42" s="1590" t="s">
        <v>250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1</v>
      </c>
      <c r="T42" s="525" t="s">
        <v>122</v>
      </c>
      <c r="U42" s="527"/>
      <c r="V42" s="2469"/>
      <c r="W42" s="2470"/>
      <c r="X42" s="2470"/>
      <c r="Y42" s="2470"/>
      <c r="Z42" s="2470"/>
      <c r="AA42" s="2470"/>
      <c r="AB42" s="2470"/>
      <c r="AC42" s="2470"/>
      <c r="AD42" s="2470"/>
      <c r="AE42" s="2470"/>
      <c r="AF42" s="2471"/>
      <c r="AG42" s="2469" t="str">
        <f>INDEX(PT_DIFFERENTIATION_NTAR,MATCH(A42,PT_DIFFERENTIATION_NTAR_ID,0))</f>
        <v>тариф на горячую воду</v>
      </c>
      <c r="AH42" s="2470"/>
      <c r="AI42" s="2470"/>
      <c r="AJ42" s="2470"/>
      <c r="AK42" s="2470"/>
      <c r="AL42" s="2470"/>
      <c r="AM42" s="2470"/>
      <c r="AN42" s="2470"/>
      <c r="AO42" s="2470"/>
      <c r="AP42" s="2470"/>
      <c r="AQ42" s="2470"/>
      <c r="AR42" s="9409"/>
      <c r="AS42" s="9410"/>
      <c r="AT42" s="9410"/>
      <c r="AU42" s="9410"/>
      <c r="AV42" s="9410"/>
      <c r="AW42" s="9410"/>
      <c r="AX42" s="9410"/>
      <c r="AY42" s="9410"/>
      <c r="AZ42" s="9410"/>
      <c r="BA42" s="9410"/>
      <c r="BB42" s="9411"/>
      <c r="BC42" s="9409"/>
      <c r="BD42" s="9410"/>
      <c r="BE42" s="9410"/>
      <c r="BF42" s="9410"/>
      <c r="BG42" s="9410"/>
      <c r="BH42" s="9410"/>
      <c r="BI42" s="9410"/>
      <c r="BJ42" s="9410"/>
      <c r="BK42" s="9410"/>
      <c r="BL42" s="9410"/>
      <c r="BM42" s="9411"/>
      <c r="BN42" s="9409"/>
      <c r="BO42" s="9410"/>
      <c r="BP42" s="9410"/>
      <c r="BQ42" s="9410"/>
      <c r="BR42" s="9410"/>
      <c r="BS42" s="9410"/>
      <c r="BT42" s="9410"/>
      <c r="BU42" s="9410"/>
      <c r="BV42" s="9410"/>
      <c r="BW42" s="9410"/>
      <c r="BX42" s="9411"/>
      <c r="BY42" s="2471"/>
      <c r="BZ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727"/>
      <c r="CC42" s="727" t="str">
        <f>IF(T42="","",T42)</f>
        <v>Наименование тарифа</v>
      </c>
      <c r="CD42" s="727"/>
      <c r="CE42" s="727"/>
      <c r="CF42" s="1382">
        <v>23</v>
      </c>
    </row>
    <row customHeight="1" ht="24">
      <c r="A43" s="1590" t="s">
        <v>250</v>
      </c>
      <c r="B43" s="1590" t="s">
        <v>251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1.1</v>
      </c>
      <c r="T43" s="535" t="s">
        <v>399</v>
      </c>
      <c r="U43" s="527"/>
      <c r="V43" s="2469"/>
      <c r="W43" s="2470"/>
      <c r="X43" s="2470"/>
      <c r="Y43" s="2470"/>
      <c r="Z43" s="2470"/>
      <c r="AA43" s="2470"/>
      <c r="AB43" s="2470"/>
      <c r="AC43" s="2470"/>
      <c r="AD43" s="2470"/>
      <c r="AE43" s="2470"/>
      <c r="AF43" s="2471"/>
      <c r="AG43" s="2469" t="str">
        <f>INDEX(PT_DIFFERENTIATION_TER,MATCH(B43,PT_DIFFERENTIATION_TER_ID,0))</f>
        <v>без дифференциации</v>
      </c>
      <c r="AH43" s="2470"/>
      <c r="AI43" s="2470"/>
      <c r="AJ43" s="2470"/>
      <c r="AK43" s="2470"/>
      <c r="AL43" s="2470"/>
      <c r="AM43" s="2470"/>
      <c r="AN43" s="2470"/>
      <c r="AO43" s="2470"/>
      <c r="AP43" s="2470"/>
      <c r="AQ43" s="2470"/>
      <c r="AR43" s="9409"/>
      <c r="AS43" s="9410"/>
      <c r="AT43" s="9410"/>
      <c r="AU43" s="9410"/>
      <c r="AV43" s="9410"/>
      <c r="AW43" s="9410"/>
      <c r="AX43" s="9410"/>
      <c r="AY43" s="9410"/>
      <c r="AZ43" s="9410"/>
      <c r="BA43" s="9410"/>
      <c r="BB43" s="9411"/>
      <c r="BC43" s="9409"/>
      <c r="BD43" s="9410"/>
      <c r="BE43" s="9410"/>
      <c r="BF43" s="9410"/>
      <c r="BG43" s="9410"/>
      <c r="BH43" s="9410"/>
      <c r="BI43" s="9410"/>
      <c r="BJ43" s="9410"/>
      <c r="BK43" s="9410"/>
      <c r="BL43" s="9410"/>
      <c r="BM43" s="9411"/>
      <c r="BN43" s="9409"/>
      <c r="BO43" s="9410"/>
      <c r="BP43" s="9410"/>
      <c r="BQ43" s="9410"/>
      <c r="BR43" s="9410"/>
      <c r="BS43" s="9410"/>
      <c r="BT43" s="9410"/>
      <c r="BU43" s="9410"/>
      <c r="BV43" s="9410"/>
      <c r="BW43" s="9410"/>
      <c r="BX43" s="9411"/>
      <c r="BY43" s="2471"/>
      <c r="BZ43" s="1485" t="s">
        <v>400</v>
      </c>
      <c r="CB43" s="727"/>
      <c r="CC43" s="727" t="str">
        <f>IF(T43="","",T43)</f>
        <v>Территория действия тарифа</v>
      </c>
      <c r="CD43" s="727"/>
      <c r="CE43" s="727"/>
      <c r="CF43" s="1382">
        <v>23</v>
      </c>
    </row>
    <row customHeight="1" ht="24">
      <c r="A44" s="1590" t="s">
        <v>250</v>
      </c>
      <c r="B44" s="1590" t="s">
        <v>251</v>
      </c>
      <c r="C44" s="1590" t="s">
        <v>252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1.1.1</v>
      </c>
      <c r="T44" s="536" t="s">
        <v>529</v>
      </c>
      <c r="U44" s="527"/>
      <c r="V44" s="2469"/>
      <c r="W44" s="2470"/>
      <c r="X44" s="2470"/>
      <c r="Y44" s="2470"/>
      <c r="Z44" s="2470"/>
      <c r="AA44" s="2470"/>
      <c r="AB44" s="2470"/>
      <c r="AC44" s="2470"/>
      <c r="AD44" s="2470"/>
      <c r="AE44" s="2470"/>
      <c r="AF44" s="2471"/>
      <c r="AG44" s="2469" t="str">
        <f>INDEX(PT_DIFFERENTIATION_CS,MATCH(C44,PT_DIFFERENTIATION_CS_ID,0))</f>
        <v>без дифференциации</v>
      </c>
      <c r="AH44" s="2470"/>
      <c r="AI44" s="2470"/>
      <c r="AJ44" s="2470"/>
      <c r="AK44" s="2470"/>
      <c r="AL44" s="2470"/>
      <c r="AM44" s="2470"/>
      <c r="AN44" s="2470"/>
      <c r="AO44" s="2470"/>
      <c r="AP44" s="2470"/>
      <c r="AQ44" s="2470"/>
      <c r="AR44" s="9409"/>
      <c r="AS44" s="9410"/>
      <c r="AT44" s="9410"/>
      <c r="AU44" s="9410"/>
      <c r="AV44" s="9410"/>
      <c r="AW44" s="9410"/>
      <c r="AX44" s="9410"/>
      <c r="AY44" s="9410"/>
      <c r="AZ44" s="9410"/>
      <c r="BA44" s="9410"/>
      <c r="BB44" s="9411"/>
      <c r="BC44" s="9409"/>
      <c r="BD44" s="9410"/>
      <c r="BE44" s="9410"/>
      <c r="BF44" s="9410"/>
      <c r="BG44" s="9410"/>
      <c r="BH44" s="9410"/>
      <c r="BI44" s="9410"/>
      <c r="BJ44" s="9410"/>
      <c r="BK44" s="9410"/>
      <c r="BL44" s="9410"/>
      <c r="BM44" s="9411"/>
      <c r="BN44" s="9409"/>
      <c r="BO44" s="9410"/>
      <c r="BP44" s="9410"/>
      <c r="BQ44" s="9410"/>
      <c r="BR44" s="9410"/>
      <c r="BS44" s="9410"/>
      <c r="BT44" s="9410"/>
      <c r="BU44" s="9410"/>
      <c r="BV44" s="9410"/>
      <c r="BW44" s="9410"/>
      <c r="BX44" s="9411"/>
      <c r="BY44" s="2471"/>
      <c r="BZ44" s="1485" t="s">
        <v>530</v>
      </c>
      <c r="CB44" s="727"/>
      <c r="CC44" s="727" t="str">
        <f>IF(T44="","",T44)</f>
        <v>Наименование централизованной системы горячего водоснабжения</v>
      </c>
      <c r="CD44" s="727"/>
      <c r="CE44" s="727"/>
      <c r="CF44" s="1382">
        <v>23</v>
      </c>
    </row>
    <row customHeight="1" ht="24">
      <c r="A45" s="1590" t="s">
        <v>250</v>
      </c>
      <c r="B45" s="1590" t="s">
        <v>251</v>
      </c>
      <c r="C45" s="1590" t="s">
        <v>252</v>
      </c>
      <c r="D45" s="1590" t="s">
        <v>542</v>
      </c>
      <c r="E45" s="2486"/>
      <c r="F45" s="2486"/>
      <c r="G45" s="2486"/>
      <c r="H45" s="2486"/>
      <c r="I45" s="2483" t="str">
        <f>S44&amp;".1"</f>
        <v>1.1.1.1</v>
      </c>
      <c r="J45" s="1590"/>
      <c r="K45" s="1590"/>
      <c r="L45" s="1591"/>
      <c r="P45" s="2484">
        <v>1</v>
      </c>
      <c r="Q45" s="1708"/>
      <c r="R45" s="583"/>
      <c r="S45" s="1720" t="str">
        <f>$I45</f>
        <v>1.1.1.1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9412"/>
      <c r="AS45" s="9413"/>
      <c r="AT45" s="9413"/>
      <c r="AU45" s="9413"/>
      <c r="AV45" s="9413"/>
      <c r="AW45" s="9413"/>
      <c r="AX45" s="9413"/>
      <c r="AY45" s="9413"/>
      <c r="AZ45" s="9413"/>
      <c r="BA45" s="9413"/>
      <c r="BB45" s="9414"/>
      <c r="BC45" s="9412"/>
      <c r="BD45" s="9413"/>
      <c r="BE45" s="9413"/>
      <c r="BF45" s="9413"/>
      <c r="BG45" s="9413"/>
      <c r="BH45" s="9413"/>
      <c r="BI45" s="9413"/>
      <c r="BJ45" s="9413"/>
      <c r="BK45" s="9413"/>
      <c r="BL45" s="9413"/>
      <c r="BM45" s="9414"/>
      <c r="BN45" s="9412"/>
      <c r="BO45" s="9413"/>
      <c r="BP45" s="9413"/>
      <c r="BQ45" s="9413"/>
      <c r="BR45" s="9413"/>
      <c r="BS45" s="9413"/>
      <c r="BT45" s="9413"/>
      <c r="BU45" s="9413"/>
      <c r="BV45" s="9413"/>
      <c r="BW45" s="9413"/>
      <c r="BX45" s="9414"/>
      <c r="BY45" s="2582"/>
      <c r="BZ45" s="1485" t="s">
        <v>483</v>
      </c>
      <c r="CB45" s="727"/>
      <c r="CC45" s="727" t="str">
        <f>IF(T45="","",T45)</f>
        <v>Наименование признака дифференциации</v>
      </c>
      <c r="CD45" s="727"/>
      <c r="CE45" s="727"/>
      <c r="CF45" s="1382">
        <v>23</v>
      </c>
    </row>
    <row customHeight="1" ht="24">
      <c r="A46" s="1590" t="s">
        <v>250</v>
      </c>
      <c r="B46" s="1590" t="s">
        <v>251</v>
      </c>
      <c r="C46" s="1590" t="s">
        <v>252</v>
      </c>
      <c r="D46" s="1590" t="s">
        <v>542</v>
      </c>
      <c r="E46" s="2486"/>
      <c r="F46" s="2486"/>
      <c r="G46" s="2486"/>
      <c r="H46" s="2486"/>
      <c r="I46" s="2513"/>
      <c r="J46" s="2483" t="str">
        <f>I45&amp;".1"</f>
        <v>1.1.1.1.1</v>
      </c>
      <c r="K46" s="1590"/>
      <c r="L46" s="1591" t="s">
        <v>408</v>
      </c>
      <c r="P46" s="2484"/>
      <c r="Q46" s="2484">
        <v>1</v>
      </c>
      <c r="R46" s="584"/>
      <c r="S46" s="1720" t="str">
        <f>$J46</f>
        <v>1.1.1.1.1</v>
      </c>
      <c r="T46" s="513" t="s">
        <v>409</v>
      </c>
      <c r="U46" s="527"/>
      <c r="V46" s="2472"/>
      <c r="W46" s="2473"/>
      <c r="X46" s="2473"/>
      <c r="Y46" s="2473"/>
      <c r="Z46" s="2473"/>
      <c r="AA46" s="2473"/>
      <c r="AB46" s="2473"/>
      <c r="AC46" s="2473"/>
      <c r="AD46" s="2473"/>
      <c r="AE46" s="2473"/>
      <c r="AF46" s="2474"/>
      <c r="AG46" s="2472" t="s">
        <v>543</v>
      </c>
      <c r="AH46" s="2473"/>
      <c r="AI46" s="2473"/>
      <c r="AJ46" s="2473"/>
      <c r="AK46" s="2473"/>
      <c r="AL46" s="2473"/>
      <c r="AM46" s="2473"/>
      <c r="AN46" s="2473"/>
      <c r="AO46" s="2473"/>
      <c r="AP46" s="2473"/>
      <c r="AQ46" s="2473"/>
      <c r="AR46" s="9415"/>
      <c r="AS46" s="9416"/>
      <c r="AT46" s="9416"/>
      <c r="AU46" s="9416"/>
      <c r="AV46" s="9416"/>
      <c r="AW46" s="9416"/>
      <c r="AX46" s="9416"/>
      <c r="AY46" s="9416"/>
      <c r="AZ46" s="9416"/>
      <c r="BA46" s="9416"/>
      <c r="BB46" s="9417"/>
      <c r="BC46" s="9415"/>
      <c r="BD46" s="9416"/>
      <c r="BE46" s="9416"/>
      <c r="BF46" s="9416"/>
      <c r="BG46" s="9416"/>
      <c r="BH46" s="9416"/>
      <c r="BI46" s="9416"/>
      <c r="BJ46" s="9416"/>
      <c r="BK46" s="9416"/>
      <c r="BL46" s="9416"/>
      <c r="BM46" s="9417"/>
      <c r="BN46" s="9415"/>
      <c r="BO46" s="9416"/>
      <c r="BP46" s="9416"/>
      <c r="BQ46" s="9416"/>
      <c r="BR46" s="9416"/>
      <c r="BS46" s="9416"/>
      <c r="BT46" s="9416"/>
      <c r="BU46" s="9416"/>
      <c r="BV46" s="9416"/>
      <c r="BW46" s="9416"/>
      <c r="BX46" s="9417"/>
      <c r="BY46" s="2474"/>
      <c r="BZ46" s="1534" t="s">
        <v>484</v>
      </c>
      <c r="CB46" s="727"/>
      <c r="CC46" s="727" t="str">
        <f>IF(T46="","",T46)</f>
        <v>Группа потребителей</v>
      </c>
      <c r="CD46" s="727"/>
      <c r="CE46" s="727"/>
      <c r="CF46" s="1382">
        <v>23</v>
      </c>
    </row>
    <row customHeight="1" ht="24">
      <c r="A47" s="1590" t="s">
        <v>250</v>
      </c>
      <c r="B47" s="1590" t="s">
        <v>251</v>
      </c>
      <c r="C47" s="1590" t="s">
        <v>252</v>
      </c>
      <c r="D47" s="1590" t="s">
        <v>542</v>
      </c>
      <c r="E47" s="2486"/>
      <c r="F47" s="2486"/>
      <c r="G47" s="2486"/>
      <c r="H47" s="2486"/>
      <c r="I47" s="2513"/>
      <c r="J47" s="2513"/>
      <c r="K47" s="2483" t="str">
        <f>J46&amp;".1"</f>
        <v>1.1.1.1.1.1</v>
      </c>
      <c r="L47" s="1591"/>
      <c r="P47" s="2484"/>
      <c r="Q47" s="2484"/>
      <c r="R47" s="584">
        <v>1</v>
      </c>
      <c r="S47" s="1720" t="str">
        <f>$K47</f>
        <v>1.1.1.1.1.1</v>
      </c>
      <c r="T47" s="1664"/>
      <c r="U47" s="527"/>
      <c r="V47" s="978"/>
      <c r="W47" s="978"/>
      <c r="X47" s="978"/>
      <c r="Y47" s="978"/>
      <c r="Z47" s="978"/>
      <c r="AA47" s="978"/>
      <c r="AB47" s="978"/>
      <c r="AC47" s="2494"/>
      <c r="AD47" s="2495" t="s">
        <v>65</v>
      </c>
      <c r="AE47" s="2494"/>
      <c r="AF47" s="2495" t="s">
        <v>65</v>
      </c>
      <c r="AG47" s="978"/>
      <c r="AH47" s="978">
        <v>28.18</v>
      </c>
      <c r="AI47" s="978"/>
      <c r="AJ47" s="978"/>
      <c r="AK47" s="978">
        <v>2416.34</v>
      </c>
      <c r="AL47" s="978"/>
      <c r="AM47" s="978"/>
      <c r="AN47" s="9419">
        <v>45839</v>
      </c>
      <c r="AO47" s="2334" t="s">
        <v>65</v>
      </c>
      <c r="AP47" s="9557">
        <v>46203</v>
      </c>
      <c r="AQ47" s="2334" t="s">
        <v>19</v>
      </c>
      <c r="AR47" s="9418"/>
      <c r="AS47" s="9418">
        <v>29.19</v>
      </c>
      <c r="AT47" s="9418"/>
      <c r="AU47" s="9418"/>
      <c r="AV47" s="9418">
        <v>2485.32</v>
      </c>
      <c r="AW47" s="9418"/>
      <c r="AX47" s="9418"/>
      <c r="AY47" s="12495"/>
      <c r="AZ47" s="9559" t="s">
        <v>65</v>
      </c>
      <c r="BA47" s="12495"/>
      <c r="BB47" s="9559" t="s">
        <v>65</v>
      </c>
      <c r="BC47" s="9418">
        <v>30.3</v>
      </c>
      <c r="BD47" s="9418"/>
      <c r="BE47" s="9418"/>
      <c r="BF47" s="9418"/>
      <c r="BG47" s="9418">
        <v>2575.56</v>
      </c>
      <c r="BH47" s="9418"/>
      <c r="BI47" s="9418"/>
      <c r="BJ47" s="9558"/>
      <c r="BK47" s="9559" t="s">
        <v>65</v>
      </c>
      <c r="BL47" s="9558"/>
      <c r="BM47" s="9559" t="s">
        <v>65</v>
      </c>
      <c r="BN47" s="9418"/>
      <c r="BO47" s="9418">
        <v>31.52</v>
      </c>
      <c r="BP47" s="9418"/>
      <c r="BQ47" s="9418"/>
      <c r="BR47" s="9418">
        <v>2637.46</v>
      </c>
      <c r="BS47" s="9418"/>
      <c r="BT47" s="9418"/>
      <c r="BU47" s="9558"/>
      <c r="BV47" s="9559" t="s">
        <v>65</v>
      </c>
      <c r="BW47" s="9558"/>
      <c r="BX47" s="9559" t="s">
        <v>65</v>
      </c>
      <c r="BY47" s="1665"/>
      <c r="BZ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738">
        <f>STRCHECKDATE(V48:BY48)</f>
      </c>
      <c r="CB47" s="727"/>
      <c r="CC47" s="727" t="str">
        <f>IF(T47="","",T47)</f>
        <v/>
      </c>
      <c r="CD47" s="727"/>
      <c r="CE47" s="727"/>
      <c r="CF47" s="1382">
        <v>23</v>
      </c>
    </row>
    <row customHeight="1" ht="0">
      <c r="A48" s="1590" t="s">
        <v>250</v>
      </c>
      <c r="B48" s="1590" t="s">
        <v>251</v>
      </c>
      <c r="C48" s="1590" t="s">
        <v>252</v>
      </c>
      <c r="D48" s="1590" t="s">
        <v>542</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9560"/>
      <c r="AS48" s="9560"/>
      <c r="AT48" s="9560"/>
      <c r="AU48" s="9560"/>
      <c r="AV48" s="9560"/>
      <c r="AW48" s="9560"/>
      <c r="AX48" s="9560"/>
      <c r="AY48" s="9559"/>
      <c r="AZ48" s="9559"/>
      <c r="BA48" s="9559"/>
      <c r="BB48" s="9559"/>
      <c r="BC48" s="9560"/>
      <c r="BD48" s="9560"/>
      <c r="BE48" s="9560"/>
      <c r="BF48" s="9560"/>
      <c r="BG48" s="9560"/>
      <c r="BH48" s="9560"/>
      <c r="BI48" s="9560"/>
      <c r="BJ48" s="9559"/>
      <c r="BK48" s="9559"/>
      <c r="BL48" s="9559"/>
      <c r="BM48" s="9559"/>
      <c r="BN48" s="9560"/>
      <c r="BO48" s="9560"/>
      <c r="BP48" s="9560"/>
      <c r="BQ48" s="9560"/>
      <c r="BR48" s="9560"/>
      <c r="BS48" s="9560"/>
      <c r="BT48" s="9560"/>
      <c r="BU48" s="9559"/>
      <c r="BV48" s="9559"/>
      <c r="BW48" s="9559"/>
      <c r="BX48" s="9559"/>
      <c r="BY48" s="1666"/>
      <c r="BZ48" s="2576"/>
      <c r="CB48" s="727"/>
      <c r="CC48" s="727" t="str">
        <f>IF(T48="","",T48)</f>
        <v/>
      </c>
      <c r="CD48" s="727"/>
      <c r="CE48" s="727"/>
      <c r="CF48" s="1382">
        <v>0</v>
      </c>
    </row>
    <row customHeight="1" ht="21">
      <c r="A49" s="1590" t="s">
        <v>250</v>
      </c>
      <c r="B49" s="1590" t="s">
        <v>251</v>
      </c>
      <c r="C49" s="1590" t="s">
        <v>252</v>
      </c>
      <c r="D49" s="1590" t="s">
        <v>542</v>
      </c>
      <c r="E49" s="2486"/>
      <c r="F49" s="2486"/>
      <c r="G49" s="2486"/>
      <c r="H49" s="2486"/>
      <c r="I49" s="2513"/>
      <c r="J49" s="2483"/>
      <c r="K49" s="1590"/>
      <c r="L49" s="1591"/>
      <c r="P49" s="2484"/>
      <c r="Q49" s="2484"/>
      <c r="R49" s="583"/>
      <c r="S49" s="1505"/>
      <c r="T49" s="514" t="s">
        <v>485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9561"/>
      <c r="AS49" s="9562"/>
      <c r="AT49" s="9563"/>
      <c r="AU49" s="9564"/>
      <c r="AV49" s="9565"/>
      <c r="AW49" s="9566"/>
      <c r="AX49" s="9567"/>
      <c r="AY49" s="9568"/>
      <c r="AZ49" s="9569"/>
      <c r="BA49" s="9570"/>
      <c r="BB49" s="9571"/>
      <c r="BC49" s="9572"/>
      <c r="BD49" s="9573"/>
      <c r="BE49" s="9574"/>
      <c r="BF49" s="9575"/>
      <c r="BG49" s="9576"/>
      <c r="BH49" s="9577"/>
      <c r="BI49" s="9578"/>
      <c r="BJ49" s="9579"/>
      <c r="BK49" s="9580"/>
      <c r="BL49" s="9581"/>
      <c r="BM49" s="9582"/>
      <c r="BN49" s="9583"/>
      <c r="BO49" s="9584"/>
      <c r="BP49" s="9585"/>
      <c r="BQ49" s="9586"/>
      <c r="BR49" s="9587"/>
      <c r="BS49" s="9588"/>
      <c r="BT49" s="9589"/>
      <c r="BU49" s="9590"/>
      <c r="BV49" s="9591"/>
      <c r="BW49" s="9592"/>
      <c r="BX49" s="9593"/>
      <c r="BY49" s="594"/>
      <c r="BZ49" s="1485" t="s">
        <v>486</v>
      </c>
      <c r="CB49" s="727"/>
      <c r="CC49" s="727" t="str">
        <f>IF(T49="","",T49)</f>
        <v>Добавить значение признака дифференциации</v>
      </c>
      <c r="CD49" s="727"/>
      <c r="CE49" s="727"/>
      <c r="CF49" s="1382">
        <v>20</v>
      </c>
    </row>
    <row s="12532" customFormat="1" customHeight="1" ht="23.25">
      <c r="A50" s="12533"/>
      <c r="B50" s="12533"/>
      <c r="C50" s="12533"/>
      <c r="D50" s="12533"/>
      <c r="E50" s="12534"/>
      <c r="F50" s="12534"/>
      <c r="G50" s="12534"/>
      <c r="H50" s="12534"/>
      <c r="I50" s="12535"/>
      <c r="J50" s="12536" t="str">
        <f>I45&amp;".2"</f>
        <v>1.1.1.1.2</v>
      </c>
      <c r="K50" s="12533"/>
      <c r="L50" s="12537" t="s">
        <v>408</v>
      </c>
      <c r="M50" s="12538"/>
      <c r="N50" s="12538"/>
      <c r="O50" s="12538"/>
      <c r="P50" s="12539"/>
      <c r="Q50" s="12540" t="s">
        <v>531</v>
      </c>
      <c r="R50" s="12541"/>
      <c r="S50" s="12542" t="str">
        <f>$J50</f>
        <v>1.1.1.1.2</v>
      </c>
      <c r="T50" s="12543" t="s">
        <v>409</v>
      </c>
      <c r="U50" s="12544"/>
      <c r="V50" s="12545"/>
      <c r="W50" s="12546"/>
      <c r="X50" s="12546"/>
      <c r="Y50" s="12546"/>
      <c r="Z50" s="12546"/>
      <c r="AA50" s="12546"/>
      <c r="AB50" s="12546"/>
      <c r="AC50" s="12546"/>
      <c r="AD50" s="12546"/>
      <c r="AE50" s="12546"/>
      <c r="AF50" s="12547"/>
      <c r="AG50" s="12545" t="s">
        <v>544</v>
      </c>
      <c r="AH50" s="12546"/>
      <c r="AI50" s="12546"/>
      <c r="AJ50" s="12546"/>
      <c r="AK50" s="12546"/>
      <c r="AL50" s="12546"/>
      <c r="AM50" s="12546"/>
      <c r="AN50" s="12546"/>
      <c r="AO50" s="12546"/>
      <c r="AP50" s="12546"/>
      <c r="AQ50" s="12546"/>
      <c r="AR50" s="12545"/>
      <c r="AS50" s="12546"/>
      <c r="AT50" s="12546"/>
      <c r="AU50" s="12546"/>
      <c r="AV50" s="12546"/>
      <c r="AW50" s="12546"/>
      <c r="AX50" s="12546"/>
      <c r="AY50" s="12546"/>
      <c r="AZ50" s="12546"/>
      <c r="BA50" s="12546"/>
      <c r="BB50" s="12547"/>
      <c r="BC50" s="12545"/>
      <c r="BD50" s="12546"/>
      <c r="BE50" s="12546"/>
      <c r="BF50" s="12546"/>
      <c r="BG50" s="12546"/>
      <c r="BH50" s="12546"/>
      <c r="BI50" s="12546"/>
      <c r="BJ50" s="12546"/>
      <c r="BK50" s="12546"/>
      <c r="BL50" s="12546"/>
      <c r="BM50" s="12547"/>
      <c r="BN50" s="12545"/>
      <c r="BO50" s="12546"/>
      <c r="BP50" s="12546"/>
      <c r="BQ50" s="12546"/>
      <c r="BR50" s="12546"/>
      <c r="BS50" s="12546"/>
      <c r="BT50" s="12546"/>
      <c r="BU50" s="12546"/>
      <c r="BV50" s="12546"/>
      <c r="BW50" s="12546"/>
      <c r="BX50" s="12548"/>
      <c r="BY50" s="12547"/>
      <c r="BZ50" s="12549" t="s">
        <v>484</v>
      </c>
      <c r="CA50" s="12550"/>
      <c r="CB50" s="12551"/>
      <c r="CC50" s="12551" t="str">
        <f>IF(T50="","",T50)</f>
        <v>Группа потребителей</v>
      </c>
      <c r="CD50" s="12551"/>
      <c r="CE50" s="12551"/>
      <c r="CF50" s="12552">
        <v>0</v>
      </c>
    </row>
    <row s="12553" customFormat="1" customHeight="1" ht="23.25">
      <c r="A51" s="12533"/>
      <c r="B51" s="12533"/>
      <c r="C51" s="12533"/>
      <c r="D51" s="12533"/>
      <c r="E51" s="12534"/>
      <c r="F51" s="12534"/>
      <c r="G51" s="12534"/>
      <c r="H51" s="12534"/>
      <c r="I51" s="12535"/>
      <c r="J51" s="12535" t="str">
        <f>I45&amp;".1"</f>
        <v>1.1.1.1.1</v>
      </c>
      <c r="K51" s="12536" t="str">
        <f>J50&amp;".1"</f>
        <v>1.1.1.1.2.1</v>
      </c>
      <c r="L51" s="12537"/>
      <c r="M51" s="12538"/>
      <c r="N51" s="12538"/>
      <c r="O51" s="12538"/>
      <c r="P51" s="12539"/>
      <c r="Q51" s="12539"/>
      <c r="R51" s="12541">
        <v>1</v>
      </c>
      <c r="S51" s="12542" t="str">
        <f>$K51</f>
        <v>1.1.1.1.2.1</v>
      </c>
      <c r="T51" s="12554"/>
      <c r="U51" s="12544"/>
      <c r="V51" s="12555"/>
      <c r="W51" s="12555"/>
      <c r="X51" s="12555"/>
      <c r="Y51" s="12555"/>
      <c r="Z51" s="12555"/>
      <c r="AA51" s="12555"/>
      <c r="AB51" s="12555"/>
      <c r="AC51" s="12556"/>
      <c r="AD51" s="12557" t="s">
        <v>65</v>
      </c>
      <c r="AE51" s="12556"/>
      <c r="AF51" s="12557" t="s">
        <v>65</v>
      </c>
      <c r="AG51" s="12555"/>
      <c r="AH51" s="12555">
        <f>AH47*1.2</f>
        <v>33.816</v>
      </c>
      <c r="AI51" s="12555"/>
      <c r="AJ51" s="12555"/>
      <c r="AK51" s="12555">
        <f>AK47*1.2</f>
        <v>2899.608</v>
      </c>
      <c r="AL51" s="12555"/>
      <c r="AM51" s="12555"/>
      <c r="AN51" s="12556">
        <v>45839</v>
      </c>
      <c r="AO51" s="12557" t="s">
        <v>65</v>
      </c>
      <c r="AP51" s="12558">
        <v>46203</v>
      </c>
      <c r="AQ51" s="12557" t="s">
        <v>65</v>
      </c>
      <c r="AR51" s="12555"/>
      <c r="AS51" s="12555">
        <f>AS47*1.2</f>
        <v>35.028</v>
      </c>
      <c r="AT51" s="12555"/>
      <c r="AU51" s="12555"/>
      <c r="AV51" s="12555">
        <f>AV47*1.2</f>
        <v>2982.384</v>
      </c>
      <c r="AW51" s="12555"/>
      <c r="AX51" s="12555"/>
      <c r="AY51" s="12556">
        <v>46204</v>
      </c>
      <c r="AZ51" s="12557" t="s">
        <v>65</v>
      </c>
      <c r="BA51" s="12556">
        <v>46568</v>
      </c>
      <c r="BB51" s="12557" t="s">
        <v>65</v>
      </c>
      <c r="BC51" s="12555">
        <f>BC47*1.2</f>
        <v>36.36</v>
      </c>
      <c r="BD51" s="12555"/>
      <c r="BE51" s="12555"/>
      <c r="BF51" s="12555"/>
      <c r="BG51" s="12555">
        <f>BG47*1.2</f>
        <v>3090.672</v>
      </c>
      <c r="BH51" s="12555"/>
      <c r="BI51" s="12555"/>
      <c r="BJ51" s="12556">
        <v>46569</v>
      </c>
      <c r="BK51" s="12557" t="s">
        <v>65</v>
      </c>
      <c r="BL51" s="12556">
        <v>46934</v>
      </c>
      <c r="BM51" s="12557" t="s">
        <v>65</v>
      </c>
      <c r="BN51" s="12555"/>
      <c r="BO51" s="12555">
        <f>BO47*1.2</f>
        <v>37.824</v>
      </c>
      <c r="BP51" s="12555"/>
      <c r="BQ51" s="12555"/>
      <c r="BR51" s="12555">
        <f>BR47*1.2</f>
        <v>3164.952</v>
      </c>
      <c r="BS51" s="12555"/>
      <c r="BT51" s="12555"/>
      <c r="BU51" s="12556">
        <v>46935</v>
      </c>
      <c r="BV51" s="12557" t="s">
        <v>65</v>
      </c>
      <c r="BW51" s="12556">
        <v>47118</v>
      </c>
      <c r="BX51" s="12559" t="s">
        <v>65</v>
      </c>
      <c r="BY51" s="12560"/>
      <c r="BZ51" s="125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1" s="12550">
        <f>STRCHECKDATE(V52:BY52)</f>
      </c>
      <c r="CB51" s="12551"/>
      <c r="CC51" s="12551" t="str">
        <f>IF(T51="","",T51)</f>
        <v/>
      </c>
      <c r="CD51" s="12551"/>
      <c r="CE51" s="12551"/>
      <c r="CF51" s="12552">
        <v>0</v>
      </c>
    </row>
    <row s="12562" customFormat="1" customHeight="1" ht="14.25">
      <c r="A52" s="12533"/>
      <c r="B52" s="12533"/>
      <c r="C52" s="12533"/>
      <c r="D52" s="12533"/>
      <c r="E52" s="12534"/>
      <c r="F52" s="12534"/>
      <c r="G52" s="12534"/>
      <c r="H52" s="12534"/>
      <c r="I52" s="12535"/>
      <c r="J52" s="12535" t="str">
        <f>I45&amp;".1"</f>
        <v>1.1.1.1.1</v>
      </c>
      <c r="K52" s="12536"/>
      <c r="L52" s="12537"/>
      <c r="M52" s="12538"/>
      <c r="N52" s="12538"/>
      <c r="O52" s="12538"/>
      <c r="P52" s="12539"/>
      <c r="Q52" s="12539"/>
      <c r="R52" s="12541"/>
      <c r="S52" s="12563"/>
      <c r="T52" s="12544"/>
      <c r="U52" s="12544"/>
      <c r="V52" s="12564"/>
      <c r="W52" s="12564"/>
      <c r="X52" s="12564"/>
      <c r="Y52" s="12564"/>
      <c r="Z52" s="12564"/>
      <c r="AA52" s="12564"/>
      <c r="AB52" s="12564"/>
      <c r="AC52" s="12565"/>
      <c r="AD52" s="12557"/>
      <c r="AE52" s="12565"/>
      <c r="AF52" s="12557"/>
      <c r="AG52" s="12564"/>
      <c r="AH52" s="12564"/>
      <c r="AI52" s="12564"/>
      <c r="AJ52" s="12564"/>
      <c r="AK52" s="12564"/>
      <c r="AL52" s="12564"/>
      <c r="AM52" s="12564"/>
      <c r="AN52" s="12565"/>
      <c r="AO52" s="12557"/>
      <c r="AP52" s="12566"/>
      <c r="AQ52" s="12557"/>
      <c r="AR52" s="12564"/>
      <c r="AS52" s="12564"/>
      <c r="AT52" s="12564"/>
      <c r="AU52" s="12564"/>
      <c r="AV52" s="12564"/>
      <c r="AW52" s="12564"/>
      <c r="AX52" s="12564"/>
      <c r="AY52" s="12565"/>
      <c r="AZ52" s="12557"/>
      <c r="BA52" s="12565"/>
      <c r="BB52" s="12557"/>
      <c r="BC52" s="12564"/>
      <c r="BD52" s="12564"/>
      <c r="BE52" s="12564"/>
      <c r="BF52" s="12564"/>
      <c r="BG52" s="12564"/>
      <c r="BH52" s="12564"/>
      <c r="BI52" s="12564"/>
      <c r="BJ52" s="12565"/>
      <c r="BK52" s="12557"/>
      <c r="BL52" s="12565"/>
      <c r="BM52" s="12557"/>
      <c r="BN52" s="12564"/>
      <c r="BO52" s="12564"/>
      <c r="BP52" s="12564"/>
      <c r="BQ52" s="12564"/>
      <c r="BR52" s="12564"/>
      <c r="BS52" s="12564"/>
      <c r="BT52" s="12564"/>
      <c r="BU52" s="12565"/>
      <c r="BV52" s="12557"/>
      <c r="BW52" s="12565"/>
      <c r="BX52" s="12559"/>
      <c r="BY52" s="12567"/>
      <c r="BZ52" s="12561"/>
      <c r="CA52" s="12550"/>
      <c r="CB52" s="12551"/>
      <c r="CC52" s="12551" t="str">
        <f>IF(T52="","",T52)</f>
        <v/>
      </c>
      <c r="CD52" s="12551"/>
      <c r="CE52" s="12551"/>
      <c r="CF52" s="12552">
        <v>0</v>
      </c>
    </row>
    <row s="12568" customFormat="1" customHeight="1" ht="21">
      <c r="A53" s="12533"/>
      <c r="B53" s="12533"/>
      <c r="C53" s="12533"/>
      <c r="D53" s="12533"/>
      <c r="E53" s="12534"/>
      <c r="F53" s="12534"/>
      <c r="G53" s="12534"/>
      <c r="H53" s="12534"/>
      <c r="I53" s="12535"/>
      <c r="J53" s="12536" t="str">
        <f>I45&amp;".1"</f>
        <v>1.1.1.1.1</v>
      </c>
      <c r="K53" s="12533"/>
      <c r="L53" s="12537"/>
      <c r="M53" s="12538"/>
      <c r="N53" s="12538"/>
      <c r="O53" s="12538"/>
      <c r="P53" s="12539"/>
      <c r="Q53" s="12539"/>
      <c r="R53" s="12569"/>
      <c r="S53" s="12570"/>
      <c r="T53" s="12571" t="s">
        <v>485</v>
      </c>
      <c r="U53" s="12572"/>
      <c r="V53" s="12573"/>
      <c r="W53" s="12574"/>
      <c r="X53" s="12575"/>
      <c r="Y53" s="12576"/>
      <c r="Z53" s="12577"/>
      <c r="AA53" s="12578"/>
      <c r="AB53" s="12579"/>
      <c r="AC53" s="12580"/>
      <c r="AD53" s="12581"/>
      <c r="AE53" s="12582"/>
      <c r="AF53" s="12583"/>
      <c r="AG53" s="12584"/>
      <c r="AH53" s="12585"/>
      <c r="AI53" s="12586"/>
      <c r="AJ53" s="12587"/>
      <c r="AK53" s="12588"/>
      <c r="AL53" s="12589"/>
      <c r="AM53" s="12590"/>
      <c r="AN53" s="12591"/>
      <c r="AO53" s="12592"/>
      <c r="AP53" s="12593"/>
      <c r="AQ53" s="12594"/>
      <c r="AR53" s="12595"/>
      <c r="AS53" s="12596"/>
      <c r="AT53" s="12597"/>
      <c r="AU53" s="12598"/>
      <c r="AV53" s="12599"/>
      <c r="AW53" s="12600"/>
      <c r="AX53" s="12601"/>
      <c r="AY53" s="12602"/>
      <c r="AZ53" s="12603"/>
      <c r="BA53" s="12604"/>
      <c r="BB53" s="12605"/>
      <c r="BC53" s="12606"/>
      <c r="BD53" s="12607"/>
      <c r="BE53" s="12608"/>
      <c r="BF53" s="12609"/>
      <c r="BG53" s="12610"/>
      <c r="BH53" s="12611"/>
      <c r="BI53" s="12612"/>
      <c r="BJ53" s="12613"/>
      <c r="BK53" s="12614"/>
      <c r="BL53" s="12615"/>
      <c r="BM53" s="12616"/>
      <c r="BN53" s="12617"/>
      <c r="BO53" s="12618"/>
      <c r="BP53" s="12619"/>
      <c r="BQ53" s="12620"/>
      <c r="BR53" s="12621"/>
      <c r="BS53" s="12622"/>
      <c r="BT53" s="12623"/>
      <c r="BU53" s="12624"/>
      <c r="BV53" s="12625"/>
      <c r="BW53" s="12626"/>
      <c r="BX53" s="12627"/>
      <c r="BY53" s="12628"/>
      <c r="BZ53" s="12629" t="s">
        <v>486</v>
      </c>
      <c r="CA53" s="12550"/>
      <c r="CB53" s="12551"/>
      <c r="CC53" s="12551" t="str">
        <f>IF(T53="","",T53)</f>
        <v>Добавить значение признака дифференциации</v>
      </c>
      <c r="CD53" s="12551"/>
      <c r="CE53" s="12551"/>
      <c r="CF53" s="12552">
        <v>0</v>
      </c>
    </row>
    <row customHeight="1" ht="22.049999999999997">
      <c r="A54" s="1590" t="s">
        <v>250</v>
      </c>
      <c r="B54" s="1590" t="s">
        <v>251</v>
      </c>
      <c r="C54" s="1590" t="s">
        <v>252</v>
      </c>
      <c r="D54" s="1590" t="s">
        <v>542</v>
      </c>
      <c r="E54" s="2486"/>
      <c r="F54" s="2486"/>
      <c r="G54" s="2486"/>
      <c r="H54" s="2486"/>
      <c r="I54" s="2483"/>
      <c r="J54" s="1590"/>
      <c r="K54" s="1590"/>
      <c r="L54" s="1591"/>
      <c r="P54" s="2484"/>
      <c r="Q54" s="1708"/>
      <c r="R54" s="583"/>
      <c r="S54" s="1505"/>
      <c r="T54" s="592" t="s">
        <v>414</v>
      </c>
      <c r="U54" s="594"/>
      <c r="V54" s="594"/>
      <c r="W54" s="827"/>
      <c r="X54" s="827"/>
      <c r="Y54" s="827"/>
      <c r="Z54" s="827"/>
      <c r="AA54" s="827"/>
      <c r="AB54" s="827"/>
      <c r="AC54" s="594"/>
      <c r="AD54" s="594"/>
      <c r="AE54" s="594"/>
      <c r="AF54" s="593"/>
      <c r="AG54" s="594"/>
      <c r="AH54" s="827"/>
      <c r="AI54" s="827"/>
      <c r="AJ54" s="827"/>
      <c r="AK54" s="827"/>
      <c r="AL54" s="827"/>
      <c r="AM54" s="594"/>
      <c r="AN54" s="594"/>
      <c r="AO54" s="594"/>
      <c r="AP54" s="594"/>
      <c r="AQ54" s="593"/>
      <c r="AR54" s="9594"/>
      <c r="AS54" s="9595"/>
      <c r="AT54" s="9596"/>
      <c r="AU54" s="9597"/>
      <c r="AV54" s="9598"/>
      <c r="AW54" s="9599"/>
      <c r="AX54" s="9600"/>
      <c r="AY54" s="9601"/>
      <c r="AZ54" s="9602"/>
      <c r="BA54" s="9603"/>
      <c r="BB54" s="9604"/>
      <c r="BC54" s="9605"/>
      <c r="BD54" s="9606"/>
      <c r="BE54" s="9607"/>
      <c r="BF54" s="9608"/>
      <c r="BG54" s="9609"/>
      <c r="BH54" s="9610"/>
      <c r="BI54" s="9611"/>
      <c r="BJ54" s="9612"/>
      <c r="BK54" s="9613"/>
      <c r="BL54" s="9614"/>
      <c r="BM54" s="9615"/>
      <c r="BN54" s="9616"/>
      <c r="BO54" s="9617"/>
      <c r="BP54" s="9618"/>
      <c r="BQ54" s="9619"/>
      <c r="BR54" s="9620"/>
      <c r="BS54" s="9621"/>
      <c r="BT54" s="9622"/>
      <c r="BU54" s="9623"/>
      <c r="BV54" s="9624"/>
      <c r="BW54" s="9625"/>
      <c r="BX54" s="9626"/>
      <c r="BY54" s="594"/>
      <c r="BZ54" s="1667"/>
      <c r="CB54" s="727"/>
      <c r="CC54" s="727" t="str">
        <f>IF(T54="","",T54)</f>
        <v>Добавить группу потребителей</v>
      </c>
      <c r="CD54" s="727"/>
      <c r="CE54" s="727"/>
      <c r="CF54" s="1382">
        <v>21</v>
      </c>
    </row>
    <row customHeight="1" ht="22.049999999999997">
      <c r="A55" s="1590" t="s">
        <v>250</v>
      </c>
      <c r="B55" s="1590" t="s">
        <v>251</v>
      </c>
      <c r="C55" s="1590" t="s">
        <v>252</v>
      </c>
      <c r="D55" s="1590" t="s">
        <v>542</v>
      </c>
      <c r="E55" s="2486"/>
      <c r="F55" s="2486"/>
      <c r="G55" s="2486"/>
      <c r="H55" s="2485"/>
      <c r="I55" s="1590"/>
      <c r="J55" s="1590"/>
      <c r="K55" s="1590"/>
      <c r="L55" s="1591"/>
      <c r="M55" s="1592"/>
      <c r="N55" s="1592"/>
      <c r="O55" s="764"/>
      <c r="P55" s="587"/>
      <c r="Q55" s="602"/>
      <c r="R55" s="582"/>
      <c r="S55" s="1505"/>
      <c r="T55" s="599" t="s">
        <v>487</v>
      </c>
      <c r="U55" s="594"/>
      <c r="V55" s="594"/>
      <c r="W55" s="827"/>
      <c r="X55" s="827"/>
      <c r="Y55" s="827"/>
      <c r="Z55" s="827"/>
      <c r="AA55" s="827"/>
      <c r="AB55" s="827"/>
      <c r="AC55" s="594"/>
      <c r="AD55" s="594"/>
      <c r="AE55" s="594"/>
      <c r="AF55" s="593"/>
      <c r="AG55" s="594"/>
      <c r="AH55" s="827"/>
      <c r="AI55" s="827"/>
      <c r="AJ55" s="827"/>
      <c r="AK55" s="827"/>
      <c r="AL55" s="827"/>
      <c r="AM55" s="594"/>
      <c r="AN55" s="594"/>
      <c r="AO55" s="594"/>
      <c r="AP55" s="594"/>
      <c r="AQ55" s="593"/>
      <c r="AR55" s="9627"/>
      <c r="AS55" s="9628"/>
      <c r="AT55" s="9629"/>
      <c r="AU55" s="9630"/>
      <c r="AV55" s="9631"/>
      <c r="AW55" s="9632"/>
      <c r="AX55" s="9633"/>
      <c r="AY55" s="9634"/>
      <c r="AZ55" s="9635"/>
      <c r="BA55" s="9636"/>
      <c r="BB55" s="9637"/>
      <c r="BC55" s="9638"/>
      <c r="BD55" s="9639"/>
      <c r="BE55" s="9640"/>
      <c r="BF55" s="9641"/>
      <c r="BG55" s="9642"/>
      <c r="BH55" s="9643"/>
      <c r="BI55" s="9644"/>
      <c r="BJ55" s="9645"/>
      <c r="BK55" s="9646"/>
      <c r="BL55" s="9647"/>
      <c r="BM55" s="9648"/>
      <c r="BN55" s="9649"/>
      <c r="BO55" s="9650"/>
      <c r="BP55" s="9651"/>
      <c r="BQ55" s="9652"/>
      <c r="BR55" s="9653"/>
      <c r="BS55" s="9654"/>
      <c r="BT55" s="9655"/>
      <c r="BU55" s="9656"/>
      <c r="BV55" s="9657"/>
      <c r="BW55" s="9658"/>
      <c r="BX55" s="9659"/>
      <c r="BY55" s="594"/>
      <c r="BZ55" s="530"/>
      <c r="CB55" s="727"/>
      <c r="CC55" s="727" t="str">
        <f>IF(T55="","",T55)</f>
        <v>Добавить наименование признака дифференциации</v>
      </c>
      <c r="CD55" s="727"/>
      <c r="CE55" s="727"/>
      <c r="CF55" s="1382">
        <v>21</v>
      </c>
    </row>
    <row s="11239" customFormat="1" customHeight="1" ht="0">
      <c r="A56" s="1570" t="s">
        <v>250</v>
      </c>
      <c r="B56" s="1570" t="s">
        <v>251</v>
      </c>
      <c r="C56" s="1541"/>
      <c r="D56" s="1541"/>
      <c r="E56" s="2486"/>
      <c r="F56" s="2485"/>
      <c r="G56" s="1541"/>
      <c r="H56" s="1541"/>
      <c r="I56" s="1541"/>
      <c r="J56" s="1541"/>
      <c r="K56" s="1541"/>
      <c r="L56" s="1721"/>
      <c r="M56" s="1548"/>
      <c r="N56" s="1548"/>
      <c r="P56" s="1543"/>
      <c r="Q56" s="1544"/>
      <c r="R56" s="1543"/>
      <c r="S56" s="1549"/>
      <c r="T56" s="1552" t="s">
        <v>253</v>
      </c>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1"/>
      <c r="AQ56" s="1551"/>
      <c r="AR56" s="9522"/>
      <c r="AS56" s="9522"/>
      <c r="AT56" s="9522"/>
      <c r="AU56" s="9522"/>
      <c r="AV56" s="9522"/>
      <c r="AW56" s="9522"/>
      <c r="AX56" s="9522"/>
      <c r="AY56" s="9522"/>
      <c r="AZ56" s="9522"/>
      <c r="BA56" s="9522"/>
      <c r="BB56" s="9522"/>
      <c r="BC56" s="9522"/>
      <c r="BD56" s="9522"/>
      <c r="BE56" s="9522"/>
      <c r="BF56" s="9522"/>
      <c r="BG56" s="9522"/>
      <c r="BH56" s="9522"/>
      <c r="BI56" s="9522"/>
      <c r="BJ56" s="9522"/>
      <c r="BK56" s="9522"/>
      <c r="BL56" s="9522"/>
      <c r="BM56" s="9522"/>
      <c r="BN56" s="9522"/>
      <c r="BO56" s="9522"/>
      <c r="BP56" s="9522"/>
      <c r="BQ56" s="9522"/>
      <c r="BR56" s="9522"/>
      <c r="BS56" s="9522"/>
      <c r="BT56" s="9522"/>
      <c r="BU56" s="9522"/>
      <c r="BV56" s="9522"/>
      <c r="BW56" s="9522"/>
      <c r="BX56" s="9522"/>
      <c r="BY56" s="1551"/>
      <c r="BZ56" s="1551"/>
      <c r="CB56" s="1016"/>
      <c r="CC56" s="1016" t="str">
        <f>IF(T56="","",T56)</f>
        <v>Добавить централизованную систему для дифференциации</v>
      </c>
      <c r="CD56" s="1016"/>
      <c r="CE56" s="1016"/>
      <c r="CF56" s="745">
        <v>0</v>
      </c>
    </row>
    <row s="11239" customFormat="1" customHeight="1" ht="0">
      <c r="A57" s="1570" t="s">
        <v>250</v>
      </c>
      <c r="B57" s="1570"/>
      <c r="C57" s="1570"/>
      <c r="D57" s="1570"/>
      <c r="E57" s="2485"/>
      <c r="F57" s="1570"/>
      <c r="G57" s="1570"/>
      <c r="H57" s="1570"/>
      <c r="I57" s="1570"/>
      <c r="J57" s="1570"/>
      <c r="K57" s="1570"/>
      <c r="L57" s="1573"/>
      <c r="M57" s="1548"/>
      <c r="N57" s="1548"/>
      <c r="O57" s="745"/>
      <c r="P57" s="607"/>
      <c r="Q57" s="1571"/>
      <c r="R57" s="607"/>
      <c r="S57" s="1549"/>
      <c r="T57" s="1552" t="s">
        <v>254</v>
      </c>
      <c r="U57" s="1551"/>
      <c r="V57" s="1551"/>
      <c r="W57" s="1551"/>
      <c r="X57" s="1551"/>
      <c r="Y57" s="1551"/>
      <c r="Z57" s="1551"/>
      <c r="AA57" s="1551"/>
      <c r="AB57" s="1551"/>
      <c r="AC57" s="1551"/>
      <c r="AD57" s="1551"/>
      <c r="AE57" s="1551"/>
      <c r="AF57" s="1551"/>
      <c r="AG57" s="1551"/>
      <c r="AH57" s="1551"/>
      <c r="AI57" s="1551"/>
      <c r="AJ57" s="1551"/>
      <c r="AK57" s="1551"/>
      <c r="AL57" s="1551"/>
      <c r="AM57" s="1551"/>
      <c r="AN57" s="1551"/>
      <c r="AO57" s="1551"/>
      <c r="AP57" s="1551"/>
      <c r="AQ57" s="1551"/>
      <c r="AR57" s="9522"/>
      <c r="AS57" s="9522"/>
      <c r="AT57" s="9522"/>
      <c r="AU57" s="9522"/>
      <c r="AV57" s="9522"/>
      <c r="AW57" s="9522"/>
      <c r="AX57" s="9522"/>
      <c r="AY57" s="9522"/>
      <c r="AZ57" s="9522"/>
      <c r="BA57" s="9522"/>
      <c r="BB57" s="9522"/>
      <c r="BC57" s="9522"/>
      <c r="BD57" s="9522"/>
      <c r="BE57" s="9522"/>
      <c r="BF57" s="9522"/>
      <c r="BG57" s="9522"/>
      <c r="BH57" s="9522"/>
      <c r="BI57" s="9522"/>
      <c r="BJ57" s="9522"/>
      <c r="BK57" s="9522"/>
      <c r="BL57" s="9522"/>
      <c r="BM57" s="9522"/>
      <c r="BN57" s="9522"/>
      <c r="BO57" s="9522"/>
      <c r="BP57" s="9522"/>
      <c r="BQ57" s="9522"/>
      <c r="BR57" s="9522"/>
      <c r="BS57" s="9522"/>
      <c r="BT57" s="9522"/>
      <c r="BU57" s="9522"/>
      <c r="BV57" s="9522"/>
      <c r="BW57" s="9522"/>
      <c r="BX57" s="9522"/>
      <c r="BY57" s="1551"/>
      <c r="BZ57" s="1551"/>
      <c r="CB57" s="727"/>
      <c r="CC57" s="727" t="str">
        <f>IF(T57="","",T57)</f>
        <v>Добавить территорию для дифференциации</v>
      </c>
      <c r="CD57" s="727"/>
      <c r="CE57" s="727"/>
      <c r="CF57" s="738">
        <v>0</v>
      </c>
    </row>
    <row s="11239" customFormat="1" customHeight="1" ht="0">
      <c r="A58" s="1541"/>
      <c r="B58" s="1541"/>
      <c r="C58" s="1541"/>
      <c r="D58" s="1541"/>
      <c r="E58" s="1570"/>
      <c r="F58" s="1541"/>
      <c r="G58" s="1541"/>
      <c r="H58" s="1541"/>
      <c r="I58" s="1541"/>
      <c r="J58" s="1541"/>
      <c r="K58" s="1541"/>
      <c r="L58" s="1721"/>
      <c r="M58" s="1548"/>
      <c r="N58" s="1548"/>
      <c r="P58" s="1543"/>
      <c r="Q58" s="1544"/>
      <c r="R58" s="1543"/>
      <c r="S58" s="1549"/>
      <c r="T58" s="1552" t="s">
        <v>255</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9522"/>
      <c r="AS58" s="9522"/>
      <c r="AT58" s="9522"/>
      <c r="AU58" s="9522"/>
      <c r="AV58" s="9522"/>
      <c r="AW58" s="9522"/>
      <c r="AX58" s="9522"/>
      <c r="AY58" s="9522"/>
      <c r="AZ58" s="9522"/>
      <c r="BA58" s="9522"/>
      <c r="BB58" s="9522"/>
      <c r="BC58" s="9522"/>
      <c r="BD58" s="9522"/>
      <c r="BE58" s="9522"/>
      <c r="BF58" s="9522"/>
      <c r="BG58" s="9522"/>
      <c r="BH58" s="9522"/>
      <c r="BI58" s="9522"/>
      <c r="BJ58" s="9522"/>
      <c r="BK58" s="9522"/>
      <c r="BL58" s="9522"/>
      <c r="BM58" s="9522"/>
      <c r="BN58" s="9522"/>
      <c r="BO58" s="9522"/>
      <c r="BP58" s="9522"/>
      <c r="BQ58" s="9522"/>
      <c r="BR58" s="9522"/>
      <c r="BS58" s="9522"/>
      <c r="BT58" s="9522"/>
      <c r="BU58" s="9522"/>
      <c r="BV58" s="9522"/>
      <c r="BW58" s="9522"/>
      <c r="BX58" s="9522"/>
      <c r="BY58" s="1551"/>
      <c r="BZ58" s="1551"/>
      <c r="CB58" s="1016"/>
      <c r="CC58" s="1016" t="str">
        <f>IF(T58="","",T58)</f>
        <v>Добавить наименование тарифа</v>
      </c>
      <c r="CD58" s="1016"/>
      <c r="CE58" s="1016"/>
      <c r="CF58" s="745">
        <v>0</v>
      </c>
    </row>
    <row customHeight="1" ht="11.549999999999999">
      <c r="M59" s="1387"/>
      <c r="N59" s="1387"/>
      <c r="O59" s="764"/>
      <c r="P59" s="1382"/>
      <c r="Q59" s="1382"/>
      <c r="R59" s="1382"/>
      <c r="S59" s="1382"/>
      <c r="AR59" s="9408"/>
      <c r="AS59" s="9408"/>
      <c r="AT59" s="9408"/>
      <c r="AU59" s="9408"/>
      <c r="AV59" s="9408"/>
      <c r="AW59" s="9408"/>
      <c r="AX59" s="9408"/>
      <c r="AY59" s="9408"/>
      <c r="AZ59" s="9408"/>
      <c r="BA59" s="9408"/>
      <c r="BB59" s="9408"/>
      <c r="BC59" s="9408"/>
      <c r="BD59" s="9408"/>
      <c r="BE59" s="9408"/>
      <c r="BF59" s="9408"/>
      <c r="BG59" s="9408"/>
      <c r="BH59" s="9408"/>
      <c r="BI59" s="9408"/>
      <c r="BJ59" s="9408"/>
      <c r="BK59" s="9408"/>
      <c r="BL59" s="9408"/>
      <c r="BM59" s="9408"/>
      <c r="BN59" s="9408"/>
      <c r="BO59" s="9408"/>
      <c r="BP59" s="9408"/>
      <c r="BQ59" s="9408"/>
      <c r="BR59" s="9408"/>
      <c r="BS59" s="9408"/>
      <c r="BT59" s="9408"/>
      <c r="BU59" s="9408"/>
      <c r="BV59" s="9408"/>
      <c r="BW59" s="9408"/>
      <c r="BX59" s="9408"/>
      <c r="CA59" s="1382"/>
      <c r="CB59" s="1382"/>
      <c r="CC59" s="1382"/>
      <c r="CD59" s="1382"/>
      <c r="CE59" s="1382"/>
      <c r="CF59" s="1382">
        <v>11</v>
      </c>
    </row>
    <row customHeight="1" ht="14.699999999999998">
      <c r="O60" s="764"/>
      <c r="S60" s="1480"/>
      <c r="T60" s="2512"/>
      <c r="U60" s="2512"/>
      <c r="V60" s="2512"/>
      <c r="W60" s="2512"/>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9660"/>
      <c r="AS60" s="9660"/>
      <c r="AT60" s="9660"/>
      <c r="AU60" s="9660"/>
      <c r="AV60" s="9660"/>
      <c r="AW60" s="9660"/>
      <c r="AX60" s="9660"/>
      <c r="AY60" s="9660"/>
      <c r="AZ60" s="9660"/>
      <c r="BA60" s="9660"/>
      <c r="BB60" s="9660"/>
      <c r="BC60" s="9660"/>
      <c r="BD60" s="9660"/>
      <c r="BE60" s="9660"/>
      <c r="BF60" s="9660"/>
      <c r="BG60" s="9660"/>
      <c r="BH60" s="9660"/>
      <c r="BI60" s="9660"/>
      <c r="BJ60" s="9660"/>
      <c r="BK60" s="9660"/>
      <c r="BL60" s="9660"/>
      <c r="BM60" s="9660"/>
      <c r="BN60" s="9660"/>
      <c r="BO60" s="9660"/>
      <c r="BP60" s="9660"/>
      <c r="BQ60" s="9660"/>
      <c r="BR60" s="9660"/>
      <c r="BS60" s="9660"/>
      <c r="BT60" s="9660"/>
      <c r="BU60" s="9660"/>
      <c r="BV60" s="9660"/>
      <c r="BW60" s="9660"/>
      <c r="BX60" s="9660"/>
      <c r="BY60" s="2512"/>
      <c r="BZ60" s="2512"/>
      <c r="CF60" s="1382">
        <v>14</v>
      </c>
    </row>
    <row customHeight="1" ht="14.699999999999998">
      <c r="O61" s="764"/>
      <c r="AR61" s="9408"/>
      <c r="AS61" s="9408"/>
      <c r="AT61" s="9408"/>
      <c r="AU61" s="9408"/>
      <c r="AV61" s="9408"/>
      <c r="AW61" s="9408"/>
      <c r="AX61" s="9408"/>
      <c r="AY61" s="9408"/>
      <c r="AZ61" s="9408"/>
      <c r="BA61" s="9408"/>
      <c r="BB61" s="9408"/>
      <c r="BC61" s="9408"/>
      <c r="BD61" s="9408"/>
      <c r="BE61" s="9408"/>
      <c r="BF61" s="9408"/>
      <c r="BG61" s="9408"/>
      <c r="BH61" s="9408"/>
      <c r="BI61" s="9408"/>
      <c r="BJ61" s="9408"/>
      <c r="BK61" s="9408"/>
      <c r="BL61" s="9408"/>
      <c r="BM61" s="9408"/>
      <c r="BN61" s="9408"/>
      <c r="BO61" s="9408"/>
      <c r="BP61" s="9408"/>
      <c r="BQ61" s="9408"/>
      <c r="BR61" s="9408"/>
      <c r="BS61" s="9408"/>
      <c r="BT61" s="9408"/>
      <c r="BU61" s="9408"/>
      <c r="BV61" s="9408"/>
      <c r="BW61" s="9408"/>
      <c r="BX61" s="9408"/>
      <c r="CF61" s="1382">
        <v>14</v>
      </c>
    </row>
    <row customHeight="1" ht="14.699999999999998">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N62" s="2512"/>
      <c r="AO62" s="2512"/>
      <c r="AP62" s="2512"/>
      <c r="AQ62" s="2512"/>
      <c r="AR62" s="9660"/>
      <c r="AS62" s="9660"/>
      <c r="AT62" s="9660"/>
      <c r="AU62" s="9660"/>
      <c r="AV62" s="9660"/>
      <c r="AW62" s="9660"/>
      <c r="AX62" s="9660"/>
      <c r="AY62" s="9660"/>
      <c r="AZ62" s="9660"/>
      <c r="BA62" s="9660"/>
      <c r="BB62" s="9660"/>
      <c r="BC62" s="9660"/>
      <c r="BD62" s="9660"/>
      <c r="BE62" s="9660"/>
      <c r="BF62" s="9660"/>
      <c r="BG62" s="9660"/>
      <c r="BH62" s="9660"/>
      <c r="BI62" s="9660"/>
      <c r="BJ62" s="9660"/>
      <c r="BK62" s="9660"/>
      <c r="BL62" s="9660"/>
      <c r="BM62" s="9660"/>
      <c r="BN62" s="9660"/>
      <c r="BO62" s="9660"/>
      <c r="BP62" s="9660"/>
      <c r="BQ62" s="9660"/>
      <c r="BR62" s="9660"/>
      <c r="BS62" s="9660"/>
      <c r="BT62" s="9660"/>
      <c r="BU62" s="9660"/>
      <c r="BV62" s="9660"/>
      <c r="BW62" s="9660"/>
      <c r="BX62" s="9660"/>
      <c r="BY62" s="2512"/>
      <c r="BZ62" s="2512"/>
      <c r="CF62" s="1382">
        <v>14</v>
      </c>
    </row>
    <row customHeight="1" ht="22.5" hidden="1">
      <c r="A63" s="1387" t="s">
        <v>81</v>
      </c>
      <c r="B63" s="1387">
        <v>0</v>
      </c>
      <c r="C63" s="1387">
        <v>0</v>
      </c>
      <c r="D63" s="1387">
        <v>0</v>
      </c>
      <c r="E63" s="1387">
        <v>0</v>
      </c>
      <c r="F63" s="1387">
        <v>0</v>
      </c>
      <c r="G63" s="1387">
        <v>0</v>
      </c>
      <c r="H63" s="1387">
        <v>0</v>
      </c>
      <c r="I63" s="1387">
        <v>0</v>
      </c>
      <c r="J63" s="1387">
        <v>0</v>
      </c>
      <c r="K63" s="1387">
        <v>0</v>
      </c>
      <c r="L63" s="1705">
        <v>0</v>
      </c>
      <c r="M63" s="1589">
        <v>0</v>
      </c>
      <c r="N63" s="1589">
        <v>0</v>
      </c>
      <c r="O63" s="1589">
        <v>0</v>
      </c>
      <c r="P63" s="1700">
        <v>3</v>
      </c>
      <c r="Q63" s="571">
        <v>3</v>
      </c>
      <c r="R63" s="571">
        <v>3</v>
      </c>
      <c r="S63" s="808">
        <v>12</v>
      </c>
      <c r="T63" s="1382">
        <v>35</v>
      </c>
      <c r="U63" s="1382">
        <v>0</v>
      </c>
      <c r="V63" s="1382">
        <v>0</v>
      </c>
      <c r="W63" s="1858">
        <v>0</v>
      </c>
      <c r="X63" s="1858">
        <v>0</v>
      </c>
      <c r="Y63" s="1858">
        <v>0</v>
      </c>
      <c r="Z63" s="1858">
        <v>0</v>
      </c>
      <c r="AA63" s="1858">
        <v>0</v>
      </c>
      <c r="AB63" s="1858">
        <v>0</v>
      </c>
      <c r="AC63" s="1382">
        <v>0</v>
      </c>
      <c r="AD63" s="1382">
        <v>0</v>
      </c>
      <c r="AE63" s="1382">
        <v>0</v>
      </c>
      <c r="AF63" s="1382">
        <v>0</v>
      </c>
      <c r="AG63" s="1382">
        <v>19</v>
      </c>
      <c r="AH63" s="1858">
        <v>19</v>
      </c>
      <c r="AI63" s="1858">
        <v>19</v>
      </c>
      <c r="AJ63" s="1858">
        <v>19</v>
      </c>
      <c r="AK63" s="1858">
        <v>19</v>
      </c>
      <c r="AL63" s="1858">
        <v>19</v>
      </c>
      <c r="AM63" s="1382">
        <v>19</v>
      </c>
      <c r="AN63" s="1382">
        <v>11</v>
      </c>
      <c r="AO63" s="1382">
        <v>3</v>
      </c>
      <c r="AP63" s="1382">
        <v>11</v>
      </c>
      <c r="AQ63" s="1382">
        <v>0</v>
      </c>
      <c r="AR63" s="9408">
        <v>0</v>
      </c>
      <c r="AS63" s="9408">
        <v>0</v>
      </c>
      <c r="AT63" s="9408">
        <v>0</v>
      </c>
      <c r="AU63" s="9408">
        <v>0</v>
      </c>
      <c r="AV63" s="9408">
        <v>0</v>
      </c>
      <c r="AW63" s="9408">
        <v>0</v>
      </c>
      <c r="AX63" s="9408">
        <v>0</v>
      </c>
      <c r="AY63" s="9408">
        <v>0</v>
      </c>
      <c r="AZ63" s="9408">
        <v>0</v>
      </c>
      <c r="BA63" s="9408">
        <v>0</v>
      </c>
      <c r="BB63" s="9408">
        <v>0</v>
      </c>
      <c r="BC63" s="9408">
        <v>0</v>
      </c>
      <c r="BD63" s="9408">
        <v>0</v>
      </c>
      <c r="BE63" s="9408">
        <v>0</v>
      </c>
      <c r="BF63" s="9408">
        <v>0</v>
      </c>
      <c r="BG63" s="9408">
        <v>0</v>
      </c>
      <c r="BH63" s="9408">
        <v>0</v>
      </c>
      <c r="BI63" s="9408">
        <v>0</v>
      </c>
      <c r="BJ63" s="9408">
        <v>0</v>
      </c>
      <c r="BK63" s="9408">
        <v>0</v>
      </c>
      <c r="BL63" s="9408">
        <v>0</v>
      </c>
      <c r="BM63" s="9408">
        <v>0</v>
      </c>
      <c r="BN63" s="9408">
        <v>0</v>
      </c>
      <c r="BO63" s="9408">
        <v>0</v>
      </c>
      <c r="BP63" s="9408">
        <v>0</v>
      </c>
      <c r="BQ63" s="9408">
        <v>0</v>
      </c>
      <c r="BR63" s="9408">
        <v>0</v>
      </c>
      <c r="BS63" s="9408">
        <v>0</v>
      </c>
      <c r="BT63" s="9408">
        <v>0</v>
      </c>
      <c r="BU63" s="9408">
        <v>0</v>
      </c>
      <c r="BV63" s="9408">
        <v>0</v>
      </c>
      <c r="BW63" s="9408">
        <v>0</v>
      </c>
      <c r="BX63" s="9408">
        <v>0</v>
      </c>
      <c r="BY63" s="1382">
        <v>4</v>
      </c>
      <c r="BZ63" s="1382">
        <v>115</v>
      </c>
      <c r="CA63" s="738">
        <v>10</v>
      </c>
      <c r="CB63" s="738">
        <v>10</v>
      </c>
      <c r="CC63" s="738">
        <v>10</v>
      </c>
      <c r="CD63" s="738">
        <v>10</v>
      </c>
      <c r="CE63" s="738">
        <v>10</v>
      </c>
      <c r="CF63" s="1382">
        <v>23</v>
      </c>
    </row>
  </sheetData>
  <sheetProtection formatColumns="0" formatRows="0" autoFilter="0" sort="0" insertRows="0" insertColumns="1" deleteRows="0" deleteColumns="0"/>
  <mergeCells count="220">
    <mergeCell ref="BZ47:BZ48"/>
    <mergeCell ref="T60:BZ60"/>
    <mergeCell ref="T62:BZ62"/>
    <mergeCell ref="K47:K48"/>
    <mergeCell ref="AC47:AC48"/>
    <mergeCell ref="AD47:AD48"/>
    <mergeCell ref="AE47:AE48"/>
    <mergeCell ref="AF47:AF48"/>
    <mergeCell ref="AN47:AN48"/>
    <mergeCell ref="V38:V40"/>
    <mergeCell ref="AD41:AE41"/>
    <mergeCell ref="AO41:AP41"/>
    <mergeCell ref="E42:E57"/>
    <mergeCell ref="V42:AF42"/>
    <mergeCell ref="AG42:BY42"/>
    <mergeCell ref="F43:F56"/>
    <mergeCell ref="V43:AF43"/>
    <mergeCell ref="AG43:BY43"/>
    <mergeCell ref="G44:G55"/>
    <mergeCell ref="V44:AF44"/>
    <mergeCell ref="AG44:BY44"/>
    <mergeCell ref="H45:H55"/>
    <mergeCell ref="I45:I54"/>
    <mergeCell ref="P45:P54"/>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Y47:AY48"/>
    <mergeCell ref="AZ47:AZ48"/>
    <mergeCell ref="BA47:BA48"/>
    <mergeCell ref="BB47:BB4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J47:BJ48"/>
    <mergeCell ref="BK47:BK48"/>
    <mergeCell ref="BL47:BL48"/>
    <mergeCell ref="BM47:BM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U47:BU48"/>
    <mergeCell ref="BV47:BV48"/>
    <mergeCell ref="BW47:BW48"/>
    <mergeCell ref="BX47:BX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Z51:BZ52"/>
    <mergeCell ref="AD51:AD52"/>
    <mergeCell ref="AE51:AE52"/>
    <mergeCell ref="AF51:AF52"/>
    <mergeCell ref="AN51:AN52"/>
    <mergeCell ref="AO51:AO52"/>
    <mergeCell ref="AP51:AP52"/>
    <mergeCell ref="J50:J53"/>
    <mergeCell ref="Q50:Q53"/>
    <mergeCell ref="V50:AF50"/>
    <mergeCell ref="AG50:BY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s>
  <dataValidations count="7">
    <dataValidation allowBlank="1" sqref="S131121:BZ131127 S196657:BZ196663 S262193:BZ262199 S327729:BZ327735 S393265:BZ393271 S458801:BZ458807 S524337:BZ524343 S589873:BZ589879 S655409:BZ655415 S720945:BZ720951 S786481:BZ786487 S852017:BZ852023 S917553:BZ917559 S983089:BZ983095 S65585:BZ65591"/>
    <dataValidation type="list" allowBlank="1" showInputMessage="1" errorTitle="Ошибка" error="Выберите значение из списка" prompt="Выберите значение из списка" sqref="V983086:BY983086 V65582:BY65582 V131118:BY131118 V196654:BY196654 V262190:BY262190 V327726:BY327726 V393262:BY393262 V458798:BY458798 V524334:BY524334 V589870:BY589870 V655406:BY655406 V720942:BY720942 V786478:BY786478 V852014:BY852014 V917550:BY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BZ65577:BZ65584 BZ131113:BZ131120 BZ196649:BZ196656 BZ262185:BZ262192 BZ327721:BZ327728 BZ393257:BZ393264 BZ458793:BZ458800 BZ524329:BZ524336 BZ589865:BZ589872 BZ655401:BZ655408 BZ720937:BZ720944 BZ786473:BZ786480 BZ852009:BZ852016 BZ917545:BZ917552 BZ983081:BZ983088 T47 T7 AG45:AQ45 BY45 AG5:AQ5 BY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AC51 AE51 AN51 AP51 AY51 BA51 BJ51 BL51 BU51 BW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X524335 AQ196655:BX196655 AQ589871:BX589871 AQ655407:BX655407 AQ15 AQ720943:BX720943 AQ786479:BX786479 AQ852015:BX852015 AQ917551:BX917551 AQ983087:BX983087 AQ65583:BX65583 AQ131119:BX131119 AQ458799:BX458799 AQ262191:BX262191 AQ7 AZ7 BB7 BK7 BM7 BV7 BX7 AO47 AQ327727:BX327727 AO15 AO7 AD7 AF7 AQ393263:BX393263 AQ47 AZ47 BB47 BK47 BM47 BV47 BX47 AD47 AF47 AD51 AF51 AO51 AQ51 AZ51 BB51 BK51 BM51 BV51 BX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04907-4396-C478-9988-ECBCB237257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4.140625" hidden="1" customWidth="1"/>
    <col min="10" max="10" style="11238" width="9.8515625" hidden="1" customWidth="1"/>
    <col min="11" max="11" style="11238" width="14.7109375" hidden="1" customWidth="1"/>
    <col min="12" max="12" style="12052" width="19.140625" hidden="1" customWidth="1"/>
    <col min="13" max="14" style="12053" width="12.28125" hidden="1" customWidth="1"/>
    <col min="15" max="15" style="12053" width="23.421875" hidden="1" customWidth="1"/>
    <col min="16" max="16" style="12054" width="3.00390625" customWidth="1"/>
    <col min="17" max="18" style="12055" width="3.00390625" customWidth="1"/>
    <col min="19" max="19" style="12056" width="12.00390625" customWidth="1"/>
    <col min="20" max="20" style="11160" width="35.00390625" customWidth="1"/>
    <col min="21" max="21" style="11160" width="0.140625" customWidth="1"/>
    <col min="22" max="28" style="11160" width="19.7109375" hidden="1" customWidth="1"/>
    <col min="29" max="29" style="11160" width="11.7109375" hidden="1" customWidth="1"/>
    <col min="30" max="30" style="11160" width="3.7109375" hidden="1" customWidth="1"/>
    <col min="31" max="31" style="11160" width="11.7109375" hidden="1" customWidth="1"/>
    <col min="32" max="32" style="11160" width="8.57421875" hidden="1" customWidth="1"/>
    <col min="33" max="33" style="11160" width="19.7109375" customWidth="1"/>
    <col min="34" max="39" style="11160" width="19.00390625" customWidth="1"/>
    <col min="40" max="40" style="11160" width="11.00390625" customWidth="1"/>
    <col min="41" max="41" style="11160" width="3.7109375" customWidth="1"/>
    <col min="42" max="42" style="11160" width="11.00390625" customWidth="1"/>
    <col min="43" max="43" style="11160" width="8.57421875" hidden="1" customWidth="1"/>
    <col min="44" max="44" style="11160" width="4.00390625" customWidth="1"/>
    <col min="45" max="45" style="11160" width="115.00390625" customWidth="1"/>
    <col min="46" max="50" style="11239" width="10.00390625" customWidth="1"/>
    <col min="51" max="51" style="1116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3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3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238"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38"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38"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"Рыбинская генерация"</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6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65"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45408</v>
      </c>
      <c r="W28" s="2491"/>
      <c r="X28" s="2491"/>
      <c r="Y28" s="2491"/>
      <c r="Z28" s="2491"/>
      <c r="AA28" s="2491"/>
      <c r="AB28" s="2491"/>
      <c r="AC28" s="2491"/>
      <c r="AD28" s="2491"/>
      <c r="AE28" s="2491"/>
      <c r="AF28" s="553"/>
      <c r="AG28" s="2491" t="str">
        <f>IF(TITLE_DATE_PR_CHANGE="",IF(TITLE_DATE_PR="","",TITLE_DATE_PR),TITLE_DATE_PR_CHANGE)</f>
        <v>45408</v>
      </c>
      <c r="AH28" s="2491"/>
      <c r="AI28" s="2491"/>
      <c r="AJ28" s="2491"/>
      <c r="AK28" s="2491"/>
      <c r="AL28" s="2491"/>
      <c r="AM28" s="2491"/>
      <c r="AN28" s="2491"/>
      <c r="AO28" s="2491"/>
      <c r="AP28" s="2491"/>
      <c r="AQ28" s="553"/>
      <c r="AR28" s="553"/>
      <c r="AS28" s="507"/>
      <c r="AT28" s="595"/>
      <c r="AU28" s="595"/>
      <c r="AV28" s="595"/>
      <c r="AW28" s="595"/>
      <c r="AX28" s="595"/>
      <c r="AY28" s="645">
        <v>0</v>
      </c>
    </row>
    <row s="11365"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04/4240</v>
      </c>
      <c r="W29" s="2478"/>
      <c r="X29" s="2478"/>
      <c r="Y29" s="2478"/>
      <c r="Z29" s="2478"/>
      <c r="AA29" s="2478"/>
      <c r="AB29" s="2478"/>
      <c r="AC29" s="2478"/>
      <c r="AD29" s="2478"/>
      <c r="AE29" s="2478"/>
      <c r="AF29" s="553"/>
      <c r="AG29" s="2478" t="str">
        <f>IF(TITLE_NUMBER_PR_CHANGE="",IF(TITLE_NUMBER_PR="","",TITLE_NUMBER_PR),TITLE_NUMBER_PR_CHANGE)</f>
        <v>04/4240</v>
      </c>
      <c r="AH29" s="2478"/>
      <c r="AI29" s="2478"/>
      <c r="AJ29" s="2478"/>
      <c r="AK29" s="2478"/>
      <c r="AL29" s="2478"/>
      <c r="AM29" s="2478"/>
      <c r="AN29" s="2478"/>
      <c r="AO29" s="2478"/>
      <c r="AP29" s="2478"/>
      <c r="AQ29" s="553"/>
      <c r="AR29" s="553"/>
      <c r="AS29" s="507"/>
      <c r="AT29" s="595"/>
      <c r="AU29" s="595"/>
      <c r="AV29" s="595"/>
      <c r="AW29" s="595"/>
      <c r="AX29" s="595"/>
      <c r="AY29" s="645">
        <v>0</v>
      </c>
    </row>
    <row s="1136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65"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45408</v>
      </c>
      <c r="W32" s="2491"/>
      <c r="X32" s="2491"/>
      <c r="Y32" s="2491"/>
      <c r="Z32" s="2491"/>
      <c r="AA32" s="2491"/>
      <c r="AB32" s="2491"/>
      <c r="AC32" s="2491"/>
      <c r="AD32" s="2491"/>
      <c r="AE32" s="2491"/>
      <c r="AF32" s="553"/>
      <c r="AG32" s="2491" t="str">
        <f>IF(TITLE_DATE_PR_CHANGE="",IF(TITLE_DATE_PR="","",TITLE_DATE_PR),TITLE_DATE_PR_CHANGE)</f>
        <v>45408</v>
      </c>
      <c r="AH32" s="2491"/>
      <c r="AI32" s="2491"/>
      <c r="AJ32" s="2491"/>
      <c r="AK32" s="2491"/>
      <c r="AL32" s="2491"/>
      <c r="AM32" s="2491"/>
      <c r="AN32" s="2491"/>
      <c r="AO32" s="2491"/>
      <c r="AP32" s="2491"/>
      <c r="AQ32" s="553"/>
      <c r="AR32" s="553"/>
      <c r="AS32" s="507"/>
      <c r="AT32" s="595"/>
      <c r="AU32" s="595"/>
      <c r="AV32" s="595"/>
      <c r="AW32" s="595"/>
      <c r="AX32" s="595"/>
      <c r="AY32" s="645">
        <v>0</v>
      </c>
    </row>
    <row s="11365"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04/4240</v>
      </c>
      <c r="W33" s="2478"/>
      <c r="X33" s="2478"/>
      <c r="Y33" s="2478"/>
      <c r="Z33" s="2478"/>
      <c r="AA33" s="2478"/>
      <c r="AB33" s="2478"/>
      <c r="AC33" s="2478"/>
      <c r="AD33" s="2478"/>
      <c r="AE33" s="2478"/>
      <c r="AF33" s="553"/>
      <c r="AG33" s="2478" t="str">
        <f>IF(TITLE_NUMBER_PR_CHANGE="",IF(TITLE_NUMBER_PR="","",TITLE_NUMBER_PR),TITLE_NUMBER_PR_CHANGE)</f>
        <v>04/4240</v>
      </c>
      <c r="AH33" s="2478"/>
      <c r="AI33" s="2478"/>
      <c r="AJ33" s="2478"/>
      <c r="AK33" s="2478"/>
      <c r="AL33" s="2478"/>
      <c r="AM33" s="2478"/>
      <c r="AN33" s="2478"/>
      <c r="AO33" s="2478"/>
      <c r="AP33" s="2478"/>
      <c r="AQ33" s="553"/>
      <c r="AR33" s="553"/>
      <c r="AS33" s="507"/>
      <c r="AT33" s="595"/>
      <c r="AU33" s="595"/>
      <c r="AV33" s="595"/>
      <c r="AW33" s="595"/>
      <c r="AX33" s="595"/>
      <c r="AY33" s="645">
        <v>0</v>
      </c>
    </row>
    <row s="1136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116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532</v>
      </c>
      <c r="W38" s="2592" t="s">
        <v>533</v>
      </c>
      <c r="X38" s="2592"/>
      <c r="Y38" s="2592"/>
      <c r="Z38" s="2592" t="s">
        <v>534</v>
      </c>
      <c r="AA38" s="2592"/>
      <c r="AB38" s="2592"/>
      <c r="AC38" s="2521" t="s">
        <v>436</v>
      </c>
      <c r="AD38" s="2540"/>
      <c r="AE38" s="2541"/>
      <c r="AF38" s="2505"/>
      <c r="AG38" s="2593" t="s">
        <v>532</v>
      </c>
      <c r="AH38" s="2592" t="s">
        <v>533</v>
      </c>
      <c r="AI38" s="2592"/>
      <c r="AJ38" s="2592"/>
      <c r="AK38" s="2592" t="s">
        <v>534</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535</v>
      </c>
      <c r="X39" s="2592" t="s">
        <v>536</v>
      </c>
      <c r="Y39" s="2592"/>
      <c r="Z39" s="2592" t="s">
        <v>537</v>
      </c>
      <c r="AA39" s="2592" t="s">
        <v>536</v>
      </c>
      <c r="AB39" s="2592"/>
      <c r="AC39" s="2522"/>
      <c r="AD39" s="2542"/>
      <c r="AE39" s="2543"/>
      <c r="AF39" s="2505"/>
      <c r="AG39" s="2593"/>
      <c r="AH39" s="2592" t="s">
        <v>535</v>
      </c>
      <c r="AI39" s="2592" t="s">
        <v>536</v>
      </c>
      <c r="AJ39" s="2592"/>
      <c r="AK39" s="2592" t="s">
        <v>537</v>
      </c>
      <c r="AL39" s="2592" t="s">
        <v>536</v>
      </c>
      <c r="AM39" s="2592"/>
      <c r="AN39" s="2522"/>
      <c r="AO39" s="2542"/>
      <c r="AP39" s="2543"/>
      <c r="AQ39" s="2505"/>
      <c r="AR39" s="2508"/>
      <c r="AS39" s="2354"/>
      <c r="AY39" s="1382">
        <v>19</v>
      </c>
    </row>
    <row customHeight="1" ht="61.949999999999996">
      <c r="A40" s="1597"/>
      <c r="B40" s="1597" t="s">
        <v>134</v>
      </c>
      <c r="C40" s="1597" t="s">
        <v>135</v>
      </c>
      <c r="D40" s="1597" t="s">
        <v>136</v>
      </c>
      <c r="E40" s="1591" t="s">
        <v>437</v>
      </c>
      <c r="F40" s="1591" t="s">
        <v>438</v>
      </c>
      <c r="G40" s="1591" t="s">
        <v>439</v>
      </c>
      <c r="H40" s="1591"/>
      <c r="I40" s="1591" t="s">
        <v>489</v>
      </c>
      <c r="J40" s="1591" t="s">
        <v>442</v>
      </c>
      <c r="K40" s="1591" t="s">
        <v>490</v>
      </c>
      <c r="L40" s="1591" t="s">
        <v>418</v>
      </c>
      <c r="Q40" s="603"/>
      <c r="R40" s="603"/>
      <c r="S40" s="2500"/>
      <c r="T40" s="2436"/>
      <c r="U40" s="529"/>
      <c r="V40" s="2593"/>
      <c r="W40" s="2592"/>
      <c r="X40" s="2210" t="s">
        <v>538</v>
      </c>
      <c r="Y40" s="2210" t="s">
        <v>539</v>
      </c>
      <c r="Z40" s="2592"/>
      <c r="AA40" s="2210" t="s">
        <v>540</v>
      </c>
      <c r="AB40" s="2210" t="s">
        <v>541</v>
      </c>
      <c r="AC40" s="1716" t="s">
        <v>446</v>
      </c>
      <c r="AD40" s="2497" t="s">
        <v>447</v>
      </c>
      <c r="AE40" s="2498"/>
      <c r="AF40" s="2506"/>
      <c r="AG40" s="2593"/>
      <c r="AH40" s="2592"/>
      <c r="AI40" s="2210" t="s">
        <v>538</v>
      </c>
      <c r="AJ40" s="2210" t="s">
        <v>539</v>
      </c>
      <c r="AK40" s="2592"/>
      <c r="AL40" s="2210" t="s">
        <v>540</v>
      </c>
      <c r="AM40" s="2210" t="s">
        <v>541</v>
      </c>
      <c r="AN40" s="1716" t="s">
        <v>446</v>
      </c>
      <c r="AO40" s="2497" t="s">
        <v>447</v>
      </c>
      <c r="AP40" s="2498"/>
      <c r="AQ40" s="2506"/>
      <c r="AR40" s="2509"/>
      <c r="AS40" s="2354"/>
      <c r="AY40" s="1382">
        <v>59</v>
      </c>
    </row>
    <row s="1180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258</v>
      </c>
      <c r="B44" s="1590" t="s">
        <v>259</v>
      </c>
      <c r="C44" s="1590" t="s">
        <v>260</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545</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545</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258</v>
      </c>
      <c r="B47" s="1590" t="s">
        <v>259</v>
      </c>
      <c r="C47" s="1590" t="s">
        <v>260</v>
      </c>
      <c r="D47" s="1590" t="s">
        <v>545</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545</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258</v>
      </c>
      <c r="B49" s="1590" t="s">
        <v>259</v>
      </c>
      <c r="C49" s="1590" t="s">
        <v>260</v>
      </c>
      <c r="D49" s="1590" t="s">
        <v>545</v>
      </c>
      <c r="E49" s="2486"/>
      <c r="F49" s="2486"/>
      <c r="G49" s="2486"/>
      <c r="H49" s="2486"/>
      <c r="I49" s="2513"/>
      <c r="J49" s="2483"/>
      <c r="K49" s="1590"/>
      <c r="L49" s="1591"/>
      <c r="P49" s="2484"/>
      <c r="Q49" s="2484"/>
      <c r="R49" s="583"/>
      <c r="S49" s="1505"/>
      <c r="T49" s="514" t="s">
        <v>485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545</v>
      </c>
      <c r="E50" s="2486"/>
      <c r="F50" s="2486"/>
      <c r="G50" s="2486"/>
      <c r="H50" s="2486"/>
      <c r="I50" s="2483"/>
      <c r="J50" s="1590"/>
      <c r="K50" s="1590"/>
      <c r="L50" s="1591"/>
      <c r="P50" s="2484"/>
      <c r="Q50" s="1708"/>
      <c r="R50" s="583"/>
      <c r="S50" s="1505"/>
      <c r="T50" s="592" t="s">
        <v>414</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545</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39" customFormat="1" customHeight="1" ht="0">
      <c r="A52" s="1570" t="s">
        <v>258</v>
      </c>
      <c r="B52" s="1570" t="s">
        <v>259</v>
      </c>
      <c r="C52" s="1541"/>
      <c r="D52" s="1541"/>
      <c r="E52" s="2486"/>
      <c r="F52" s="2485"/>
      <c r="G52" s="1541"/>
      <c r="H52" s="1541"/>
      <c r="I52" s="1541"/>
      <c r="J52" s="1541"/>
      <c r="K52" s="1541"/>
      <c r="L52" s="1721"/>
      <c r="M52" s="1548"/>
      <c r="N52" s="1548"/>
      <c r="P52" s="1543"/>
      <c r="Q52" s="1544"/>
      <c r="R52" s="1543"/>
      <c r="S52" s="1549"/>
      <c r="T52" s="1552" t="s">
        <v>253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39" customFormat="1" customHeight="1" ht="0">
      <c r="A53" s="1570" t="s">
        <v>258</v>
      </c>
      <c r="B53" s="1570"/>
      <c r="C53" s="1570"/>
      <c r="D53" s="1570"/>
      <c r="E53" s="2485"/>
      <c r="F53" s="1570"/>
      <c r="G53" s="1570"/>
      <c r="H53" s="1570"/>
      <c r="I53" s="1570"/>
      <c r="J53" s="1570"/>
      <c r="K53" s="1570"/>
      <c r="L53" s="1573"/>
      <c r="M53" s="1548"/>
      <c r="N53" s="1548"/>
      <c r="O53" s="745"/>
      <c r="P53" s="607"/>
      <c r="Q53" s="1571"/>
      <c r="R53" s="607"/>
      <c r="S53" s="1549"/>
      <c r="T53" s="1552" t="s">
        <v>254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3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255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5133C-9C48-9E58-18D6-00C638B4E9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38" width="11.57421875" hidden="1" customWidth="1"/>
    <col min="2" max="2" style="11238" width="11.00390625" hidden="1" customWidth="1"/>
    <col min="3" max="3" style="11238" width="10.57421875" hidden="1"/>
    <col min="4" max="4" style="11238" width="12.8515625" hidden="1" customWidth="1"/>
    <col min="5" max="5" style="11238" width="10.00390625" hidden="1" customWidth="1"/>
    <col min="6" max="6" style="11238" width="8.7109375" hidden="1" customWidth="1"/>
    <col min="7" max="7" style="11238" width="7.57421875" hidden="1" customWidth="1"/>
    <col min="8" max="8" style="11238" width="11.421875" hidden="1" customWidth="1"/>
    <col min="9" max="9" style="11238" width="12.00390625" hidden="1" customWidth="1"/>
    <col min="10" max="10" style="11238" width="9.8515625" hidden="1" customWidth="1"/>
    <col min="11" max="11" style="11238" width="11.421875" hidden="1" customWidth="1"/>
    <col min="12" max="12" style="12052" width="19.140625" hidden="1" customWidth="1"/>
    <col min="13" max="14" style="12053" width="12.28125" hidden="1" customWidth="1"/>
    <col min="15" max="15" style="12053" width="23.421875" hidden="1" customWidth="1"/>
    <col min="16" max="16" style="12053" width="3.7109375" hidden="1" customWidth="1"/>
    <col min="17" max="17" style="12239" width="3.7109375" hidden="1" customWidth="1"/>
    <col min="18" max="18" style="12055" width="3.00390625" customWidth="1"/>
    <col min="19" max="19" style="12056" width="12.00390625" customWidth="1"/>
    <col min="20" max="20" style="11160" width="31.00390625" customWidth="1"/>
    <col min="21" max="21" style="11160" width="0.140625" customWidth="1"/>
    <col min="22" max="25" style="11160" width="21.7109375" hidden="1" customWidth="1"/>
    <col min="26" max="26" style="11160" width="11.7109375" hidden="1" customWidth="1"/>
    <col min="27" max="27" style="11160" width="3.7109375" hidden="1" customWidth="1"/>
    <col min="28" max="28" style="11160" width="11.7109375" hidden="1" customWidth="1"/>
    <col min="29" max="29" style="11160" width="8.57421875" hidden="1" customWidth="1"/>
    <col min="30" max="30" style="11160" width="3.7109375" customWidth="1"/>
    <col min="31" max="32" style="11160" width="3.00390625" customWidth="1"/>
    <col min="33" max="33" style="11160" width="24.00390625" customWidth="1"/>
    <col min="34" max="34" style="11160" width="3.7109375" customWidth="1"/>
    <col min="35" max="36" style="11160" width="3.00390625" customWidth="1"/>
    <col min="37" max="37" style="11160" width="24.00390625" customWidth="1"/>
    <col min="38" max="38" style="11160" width="3.7109375" customWidth="1"/>
    <col min="39" max="40" style="11160" width="3.00390625" customWidth="1"/>
    <col min="41" max="41" style="11160" width="18.00390625" customWidth="1"/>
    <col min="42" max="42" style="11160" width="3.7109375" customWidth="1"/>
    <col min="43" max="44" style="11160" width="3.00390625" customWidth="1"/>
    <col min="45" max="45" style="11160" width="18.00390625" customWidth="1"/>
    <col min="46" max="49" style="11160" width="21.00390625" customWidth="1"/>
    <col min="50" max="50" style="11160" width="11.00390625" customWidth="1"/>
    <col min="51" max="51" style="11160" width="3.7109375" customWidth="1"/>
    <col min="52" max="52" style="11160" width="11.00390625" customWidth="1"/>
    <col min="53" max="53" style="11160" width="8.57421875" hidden="1" customWidth="1"/>
    <col min="54" max="54" style="11160" width="4.00390625" customWidth="1"/>
    <col min="55" max="55" style="11160" width="115.00390625" customWidth="1"/>
    <col min="56" max="60" style="11239" width="10.00390625" customWidth="1"/>
    <col min="61" max="61" style="1116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530</v>
      </c>
      <c r="BE4" s="727"/>
      <c r="BF4" s="727" t="str">
        <f>IF(T4="","",T4)</f>
        <v>Наименование централизованной системы горячего водоснабжения</v>
      </c>
      <c r="BG4" s="727"/>
      <c r="BH4" s="727"/>
      <c r="BI4" s="1382">
        <v>0</v>
      </c>
    </row>
    <row s="1123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39"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3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3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3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3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3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253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3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254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10" customFormat="1" customHeight="1" ht="14.25" hidden="1">
      <c r="M24" s="1735"/>
      <c r="N24" s="1735"/>
      <c r="O24" s="1736" t="s">
        <v>418</v>
      </c>
      <c r="P24" s="1735"/>
      <c r="Q24" s="1737"/>
      <c r="R24" s="1737"/>
      <c r="AA24" s="1734" t="s">
        <v>420</v>
      </c>
      <c r="AC24" s="1734" t="s">
        <v>421</v>
      </c>
      <c r="AD24" s="1734" t="s">
        <v>468</v>
      </c>
      <c r="AH24" s="1734" t="s">
        <v>468</v>
      </c>
      <c r="AK24" s="1734" t="s">
        <v>505</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"Рыбинская генерация"</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6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6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45408</v>
      </c>
      <c r="W32" s="2491"/>
      <c r="X32" s="2491"/>
      <c r="Y32" s="2491"/>
      <c r="Z32" s="2491"/>
      <c r="AA32" s="2491"/>
      <c r="AB32" s="2491"/>
      <c r="AC32" s="553"/>
      <c r="AD32" s="2491" t="str">
        <f>IF(TITLE_DATE_PR_CHANGE="",IF(TITLE_DATE_PR="","",TITLE_DATE_PR),TITLE_DATE_PR_CHANGE)</f>
        <v>45408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6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04/4240</v>
      </c>
      <c r="W33" s="2478"/>
      <c r="X33" s="2478"/>
      <c r="Y33" s="2478"/>
      <c r="Z33" s="2478"/>
      <c r="AA33" s="2478"/>
      <c r="AB33" s="2478"/>
      <c r="AC33" s="553"/>
      <c r="AD33" s="2478" t="str">
        <f>IF(TITLE_NUMBER_PR_CHANGE="",IF(TITLE_NUMBER_PR="","",TITLE_NUMBER_PR),TITLE_NUMBER_PR_CHANGE)</f>
        <v>04/4240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6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65"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45408</v>
      </c>
      <c r="W36" s="2491"/>
      <c r="X36" s="2491"/>
      <c r="Y36" s="2491"/>
      <c r="Z36" s="2491"/>
      <c r="AA36" s="2491"/>
      <c r="AB36" s="2491"/>
      <c r="AC36" s="553"/>
      <c r="AD36" s="2491" t="str">
        <f>IF(TITLE_DATE_PR_CHANGE="",IF(TITLE_DATE_PR="","",TITLE_DATE_PR),TITLE_DATE_PR_CHANGE)</f>
        <v>45408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65"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04/4240</v>
      </c>
      <c r="W37" s="2478"/>
      <c r="X37" s="2478"/>
      <c r="Y37" s="2478"/>
      <c r="Z37" s="2478"/>
      <c r="AA37" s="2478"/>
      <c r="AB37" s="2478"/>
      <c r="AC37" s="553"/>
      <c r="AD37" s="2478" t="str">
        <f>IF(TITLE_NUMBER_PR_CHANGE="",IF(TITLE_NUMBER_PR="","",TITLE_NUMBER_PR),TITLE_NUMBER_PR_CHANGE)</f>
        <v>04/4240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6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506</v>
      </c>
      <c r="U41" s="528"/>
      <c r="V41" s="2501" t="s">
        <v>429</v>
      </c>
      <c r="W41" s="2502"/>
      <c r="X41" s="2502"/>
      <c r="Y41" s="2502"/>
      <c r="Z41" s="2502"/>
      <c r="AA41" s="2502"/>
      <c r="AB41" s="2503"/>
      <c r="AC41" s="2504" t="s">
        <v>430</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180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263</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263</v>
      </c>
      <c r="B47" s="1590" t="s">
        <v>264</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263</v>
      </c>
      <c r="B48" s="1590" t="s">
        <v>264</v>
      </c>
      <c r="C48" s="1590" t="s">
        <v>265</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530</v>
      </c>
      <c r="BE48" s="727"/>
      <c r="BF48" s="727" t="str">
        <f>IF(T48="","",T48)</f>
        <v>Наименование централизованной системы горячего водоснабжения</v>
      </c>
      <c r="BG48" s="727"/>
      <c r="BH48" s="727"/>
      <c r="BI48" s="1382">
        <v>34</v>
      </c>
    </row>
    <row s="11239" customFormat="1" customHeight="1" ht="0">
      <c r="A49" s="1570" t="s">
        <v>263</v>
      </c>
      <c r="B49" s="1570" t="s">
        <v>264</v>
      </c>
      <c r="C49" s="1570" t="s">
        <v>265</v>
      </c>
      <c r="D49" s="1570" t="s">
        <v>546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39" customFormat="1" customHeight="1" ht="0">
      <c r="A50" s="1570" t="s">
        <v>263</v>
      </c>
      <c r="B50" s="1570" t="s">
        <v>264</v>
      </c>
      <c r="C50" s="1570" t="s">
        <v>265</v>
      </c>
      <c r="D50" s="1570" t="s">
        <v>546</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39" customFormat="1" customHeight="1" ht="0">
      <c r="A51" s="1570" t="s">
        <v>263</v>
      </c>
      <c r="B51" s="1570" t="s">
        <v>264</v>
      </c>
      <c r="C51" s="1570" t="s">
        <v>265</v>
      </c>
      <c r="D51" s="1570" t="s">
        <v>546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263</v>
      </c>
      <c r="B52" s="1590" t="s">
        <v>264</v>
      </c>
      <c r="C52" s="1590" t="s">
        <v>265</v>
      </c>
      <c r="D52" s="1590" t="s">
        <v>546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263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263</v>
      </c>
      <c r="B56" s="1590" t="s">
        <v>264</v>
      </c>
      <c r="C56" s="1590" t="s">
        <v>265</v>
      </c>
      <c r="D56" s="1590" t="s">
        <v>546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263</v>
      </c>
      <c r="B57" s="1590" t="s">
        <v>264</v>
      </c>
      <c r="C57" s="1590" t="s">
        <v>265</v>
      </c>
      <c r="D57" s="1590" t="s">
        <v>546</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39" customFormat="1" customHeight="1" ht="0">
      <c r="A58" s="1570" t="s">
        <v>263</v>
      </c>
      <c r="B58" s="1570" t="s">
        <v>264</v>
      </c>
      <c r="C58" s="1570" t="s">
        <v>265</v>
      </c>
      <c r="D58" s="1570" t="s">
        <v>546</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39" customFormat="1" customHeight="1" ht="0">
      <c r="A59" s="1570" t="s">
        <v>263</v>
      </c>
      <c r="B59" s="1570" t="s">
        <v>264</v>
      </c>
      <c r="C59" s="1570" t="s">
        <v>265</v>
      </c>
      <c r="D59" s="1570" t="s">
        <v>546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39" customFormat="1" customHeight="1" ht="0">
      <c r="A60" s="1570" t="s">
        <v>263</v>
      </c>
      <c r="B60" s="1570" t="s">
        <v>264</v>
      </c>
      <c r="C60" s="1570" t="s">
        <v>265</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39" customFormat="1" customHeight="1" ht="0">
      <c r="A61" s="1570" t="s">
        <v>263</v>
      </c>
      <c r="B61" s="1570" t="s">
        <v>264</v>
      </c>
      <c r="C61" s="1541"/>
      <c r="D61" s="1541"/>
      <c r="E61" s="2486"/>
      <c r="F61" s="2485"/>
      <c r="G61" s="1541"/>
      <c r="H61" s="1541"/>
      <c r="I61" s="1541"/>
      <c r="J61" s="1541"/>
      <c r="K61" s="1541"/>
      <c r="L61" s="1721"/>
      <c r="M61" s="1548"/>
      <c r="N61" s="1548"/>
      <c r="P61" s="1543"/>
      <c r="Q61" s="1544"/>
      <c r="R61" s="1543"/>
      <c r="S61" s="1549"/>
      <c r="T61" s="1552" t="s">
        <v>253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39" customFormat="1" customHeight="1" ht="0">
      <c r="A62" s="1570" t="s">
        <v>263</v>
      </c>
      <c r="B62" s="1570"/>
      <c r="C62" s="1570"/>
      <c r="D62" s="1570"/>
      <c r="E62" s="2485"/>
      <c r="F62" s="1570"/>
      <c r="G62" s="1570"/>
      <c r="H62" s="1570"/>
      <c r="I62" s="1570"/>
      <c r="J62" s="1570"/>
      <c r="K62" s="1570"/>
      <c r="L62" s="1573"/>
      <c r="M62" s="1548"/>
      <c r="N62" s="1548"/>
      <c r="O62" s="745"/>
      <c r="P62" s="607"/>
      <c r="Q62" s="1571"/>
      <c r="R62" s="607"/>
      <c r="S62" s="1549"/>
      <c r="T62" s="1552" t="s">
        <v>254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3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255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3C9C8-CA98-6808-DF08-7C5EFC0F2A1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822" width="10.7109375" hidden="1" customWidth="1"/>
    <col min="2" max="2" style="11238" width="16.8515625" hidden="1" customWidth="1"/>
    <col min="3" max="3" style="11239" width="5.57421875" hidden="1" customWidth="1"/>
    <col min="4" max="4" style="11160" width="3.00390625" customWidth="1"/>
    <col min="5" max="5" style="11160" width="7.00390625" customWidth="1"/>
    <col min="6" max="6" style="11160" width="54.00390625" customWidth="1"/>
    <col min="7" max="7" style="11160" width="10.00390625" customWidth="1"/>
    <col min="8" max="8" style="11160" width="40.7109375" hidden="1" customWidth="1"/>
    <col min="9" max="9" style="11160" width="40.7109375" customWidth="1"/>
    <col min="10" max="10" style="11160" width="102.00390625" customWidth="1"/>
    <col min="11" max="11" style="11238" width="9.00390625" customWidth="1"/>
    <col min="12" max="12" style="11239" width="5.00390625" customWidth="1"/>
    <col min="13" max="13" style="11239" width="3.00390625" customWidth="1"/>
    <col min="14" max="17" style="11238" width="3.00390625" customWidth="1"/>
    <col min="18" max="18" style="11239" width="10.00390625" customWidth="1"/>
    <col min="19" max="19" style="11238" width="34.00390625" customWidth="1"/>
    <col min="20" max="20" style="11238" width="9.00390625" customWidth="1"/>
    <col min="21" max="21" style="12823" width="8.00390625" customWidth="1"/>
    <col min="22" max="26" style="11238" width="8.00390625" customWidth="1"/>
    <col min="27" max="31" style="11124" width="8.00390625" customWidth="1"/>
    <col min="32" max="32" style="11160" width="9.140625" hidden="1"/>
  </cols>
  <sheetData>
    <row customHeight="1" ht="22.5" hidden="1">
      <c r="AF1" s="1858" t="s">
        <v>14</v>
      </c>
    </row>
    <row customHeight="1" ht="23.25" hidden="1">
      <c r="B2" s="2326"/>
      <c r="C2" s="1394" t="s">
        <v>547</v>
      </c>
      <c r="D2" s="1865"/>
      <c r="E2" s="773">
        <f>B2</f>
        <v>0</v>
      </c>
      <c r="F2" s="774"/>
      <c r="G2" s="1873" t="s">
        <v>548</v>
      </c>
      <c r="H2" s="1873" t="s">
        <v>548</v>
      </c>
      <c r="I2" s="1873" t="s">
        <v>548</v>
      </c>
      <c r="J2" s="516" t="s">
        <v>549</v>
      </c>
      <c r="K2" s="770"/>
      <c r="AF2" s="1858">
        <v>0</v>
      </c>
    </row>
    <row s="11239" customFormat="1" customHeight="1" ht="0.75" hidden="1">
      <c r="B3" s="2326"/>
      <c r="C3" s="1394"/>
      <c r="D3" s="775"/>
      <c r="E3" s="776"/>
      <c r="F3" s="777" t="s">
        <v>550</v>
      </c>
      <c r="G3" s="778"/>
      <c r="H3" s="778">
        <f>H4*H5+H7</f>
        <v>0</v>
      </c>
      <c r="I3" s="778">
        <f>I4*I5+I6</f>
        <v>0</v>
      </c>
      <c r="J3" s="779"/>
      <c r="AF3" s="1863">
        <v>0</v>
      </c>
    </row>
    <row customHeight="1" ht="23.25" hidden="1">
      <c r="B4" s="2326"/>
      <c r="C4" s="1394"/>
      <c r="D4" s="1865"/>
      <c r="E4" s="773" t="str">
        <f>B2&amp;".1"</f>
        <v>.1</v>
      </c>
      <c r="F4" s="780" t="s">
        <v>551</v>
      </c>
      <c r="G4" s="781"/>
      <c r="H4" s="768"/>
      <c r="I4" s="768"/>
      <c r="J4" s="516" t="s">
        <v>552</v>
      </c>
      <c r="K4" s="770"/>
      <c r="AF4" s="1858">
        <v>0</v>
      </c>
    </row>
    <row customHeight="1" ht="18.75" hidden="1">
      <c r="B5" s="2326"/>
      <c r="C5" s="1394"/>
      <c r="D5" s="1865"/>
      <c r="E5" s="773" t="str">
        <f>B2&amp;".2"</f>
        <v>.2</v>
      </c>
      <c r="F5" s="780" t="s">
        <v>553</v>
      </c>
      <c r="G5" s="1873" t="s">
        <v>554</v>
      </c>
      <c r="H5" s="768"/>
      <c r="I5" s="768"/>
      <c r="J5" s="516"/>
      <c r="K5" s="770"/>
      <c r="AF5" s="1858">
        <v>0</v>
      </c>
    </row>
    <row customHeight="1" ht="18.75" hidden="1">
      <c r="B6" s="2326"/>
      <c r="C6" s="1394"/>
      <c r="D6" s="1865"/>
      <c r="E6" s="773" t="str">
        <f>B2&amp;".3"</f>
        <v>.3</v>
      </c>
      <c r="F6" s="780" t="s">
        <v>555</v>
      </c>
      <c r="G6" s="1873" t="s">
        <v>554</v>
      </c>
      <c r="H6" s="768"/>
      <c r="I6" s="768"/>
      <c r="J6" s="516"/>
      <c r="K6" s="770"/>
      <c r="AF6" s="1858">
        <v>0</v>
      </c>
    </row>
    <row customHeight="1" ht="18.75" hidden="1">
      <c r="B7" s="2326"/>
      <c r="C7" s="1394"/>
      <c r="D7" s="1865"/>
      <c r="E7" s="773" t="str">
        <f>B2&amp;".4"</f>
        <v>.4</v>
      </c>
      <c r="F7" s="780" t="s">
        <v>556</v>
      </c>
      <c r="G7" s="1873" t="s">
        <v>548</v>
      </c>
      <c r="H7" s="782"/>
      <c r="I7" s="782"/>
      <c r="J7" s="516"/>
      <c r="K7" s="770"/>
      <c r="AF7" s="1858">
        <v>0</v>
      </c>
    </row>
    <row s="11238" customFormat="1" customHeight="1" ht="11.25" hidden="1">
      <c r="A8" s="1214"/>
      <c r="C8" s="1863"/>
      <c r="D8" s="764"/>
      <c r="H8" s="1387">
        <v>4</v>
      </c>
      <c r="I8" s="1387">
        <v>4</v>
      </c>
      <c r="L8" s="1863"/>
      <c r="M8" s="1863"/>
      <c r="R8" s="1863"/>
      <c r="AF8" s="1387">
        <v>0</v>
      </c>
    </row>
    <row s="11238" customFormat="1" customHeight="1" ht="22.5" hidden="1">
      <c r="A9" s="1214"/>
      <c r="C9" s="1863"/>
      <c r="D9" s="765"/>
      <c r="E9" s="1875"/>
      <c r="F9" s="767"/>
      <c r="G9" s="1873" t="s">
        <v>554</v>
      </c>
      <c r="H9" s="768"/>
      <c r="I9" s="768"/>
      <c r="J9" s="769" t="s">
        <v>557</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558</v>
      </c>
      <c r="H11" s="768"/>
      <c r="I11" s="768"/>
      <c r="J11" s="516" t="s">
        <v>559</v>
      </c>
      <c r="K11" s="770"/>
      <c r="AF11" s="1858">
        <v>0</v>
      </c>
    </row>
    <row customHeight="1" ht="11.25" hidden="1">
      <c r="AF12" s="1858">
        <v>0</v>
      </c>
    </row>
    <row customHeight="1" ht="22.5" hidden="1">
      <c r="D13" s="1865"/>
      <c r="E13" s="773"/>
      <c r="F13" s="767"/>
      <c r="G13" s="1196" t="s">
        <v>560</v>
      </c>
      <c r="H13" s="772"/>
      <c r="I13" s="772"/>
      <c r="J13" s="972" t="s">
        <v>561</v>
      </c>
      <c r="K13" s="770"/>
      <c r="AF13" s="1858">
        <v>0</v>
      </c>
    </row>
    <row customHeight="1" ht="11.25" hidden="1">
      <c r="AF14" s="1858">
        <v>0</v>
      </c>
    </row>
    <row customHeight="1" ht="22.5" hidden="1">
      <c r="D15" s="1865"/>
      <c r="E15" s="773"/>
      <c r="F15" s="767"/>
      <c r="G15" s="1873" t="s">
        <v>562</v>
      </c>
      <c r="H15" s="772"/>
      <c r="I15" s="772"/>
      <c r="J15" s="516" t="s">
        <v>563</v>
      </c>
      <c r="K15" s="770"/>
      <c r="AF15" s="1858">
        <v>0</v>
      </c>
    </row>
    <row customHeight="1" ht="11.25" hidden="1">
      <c r="AF16" s="1858">
        <v>0</v>
      </c>
    </row>
    <row customHeight="1" ht="22.5" hidden="1">
      <c r="D17" s="1865"/>
      <c r="E17" s="773"/>
      <c r="F17" s="767"/>
      <c r="G17" s="1873" t="s">
        <v>564</v>
      </c>
      <c r="H17" s="772"/>
      <c r="I17" s="772"/>
      <c r="J17" s="516" t="s">
        <v>565</v>
      </c>
      <c r="K17" s="770"/>
      <c r="AF17" s="1858">
        <v>0</v>
      </c>
    </row>
    <row customHeight="1" ht="11.25" hidden="1">
      <c r="AF18" s="1858">
        <v>0</v>
      </c>
    </row>
    <row s="11124"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ООО "Рыбинская генерация"</v>
      </c>
      <c r="F22" s="2476"/>
      <c r="G22" s="2476"/>
      <c r="H22" s="2476"/>
      <c r="I22" s="2476"/>
      <c r="AF22" s="1858">
        <v>24</v>
      </c>
    </row>
    <row customHeight="1" ht="11.549999999999999">
      <c r="E23" s="1362"/>
      <c r="F23" s="1362"/>
      <c r="G23" s="1362"/>
      <c r="H23" s="1362"/>
      <c r="I23" s="1362"/>
      <c r="AF23" s="1858">
        <v>11</v>
      </c>
    </row>
    <row s="11239"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566</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567</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302</v>
      </c>
      <c r="F28" s="2597"/>
      <c r="G28" s="2597"/>
      <c r="H28" s="1872"/>
      <c r="I28" s="1872"/>
      <c r="J28" s="2354"/>
      <c r="AF28" s="1858">
        <v>11</v>
      </c>
    </row>
    <row customHeight="1" ht="24">
      <c r="E29" s="1873" t="s">
        <v>87</v>
      </c>
      <c r="F29" s="1880" t="s">
        <v>304</v>
      </c>
      <c r="G29" s="1880" t="s">
        <v>568</v>
      </c>
      <c r="H29" s="1880" t="s">
        <v>305</v>
      </c>
      <c r="I29" s="1880" t="s">
        <v>305</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554</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554</v>
      </c>
      <c r="H31" s="785">
        <f>SUMIF($K33:$K71,$K31,H33:H71)</f>
        <v>0</v>
      </c>
      <c r="I31" s="785">
        <f>SUMIF($K33:$K71,$K31,I33:I71)</f>
        <v>0</v>
      </c>
      <c r="J31" s="516" t="str">
        <f>FHD_NOTE_P_2</f>
        <v>Указывается суммарная себестоимость производимых товаров.</v>
      </c>
      <c r="K31" s="1863" t="s">
        <v>569</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554</v>
      </c>
      <c r="H32" s="784"/>
      <c r="I32" s="784"/>
      <c r="J32" s="516" t="str">
        <f>FHD_NOTE_P_3</f>
        <v/>
      </c>
      <c r="K32" s="1863" t="str">
        <f>IF((LEN(E32)-LEN(SUBSTITUTE(E32,".","")))/LEN(".")=1,"p","")</f>
        <v>p</v>
      </c>
      <c r="AF32" s="1858">
        <v>11</v>
      </c>
    </row>
    <row customHeight="1" ht="11.25" hidden="1">
      <c r="A33" s="2598" t="s">
        <v>570</v>
      </c>
      <c r="D33" s="1865"/>
      <c r="E33" s="773" t="str">
        <f>FHD_NUM_P_4</f>
        <v/>
      </c>
      <c r="F33" s="1751" t="str">
        <f>FHD_P_4</f>
        <v/>
      </c>
      <c r="G33" s="2105" t="s">
        <v>554</v>
      </c>
      <c r="H33" s="785">
        <f>SUMIF($F34:$F40,$F3,H34:H40)</f>
        <v>0</v>
      </c>
      <c r="I33" s="785">
        <f>SUMIF($F34:$F40,$F3,I34:I40)</f>
        <v>0</v>
      </c>
      <c r="J33" s="516" t="str">
        <f>FHD_NOTE_P_4</f>
        <v/>
      </c>
      <c r="K33" s="1863" t="str">
        <f>IF((LEN(E33)-LEN(SUBSTITUTE(E33,".","")))/LEN(".")=1,"p","")</f>
        <v/>
      </c>
      <c r="AF33" s="1858">
        <v>0</v>
      </c>
    </row>
    <row s="11808"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808"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808"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808"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808"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808"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38" customFormat="1" customHeight="1" ht="15" hidden="1">
      <c r="A40" s="2598"/>
      <c r="C40" s="1863"/>
      <c r="D40" s="1860"/>
      <c r="E40" s="797"/>
      <c r="F40" s="798" t="s">
        <v>571</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572</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554</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554</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554</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554</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573</v>
      </c>
      <c r="H45" s="784"/>
      <c r="I45" s="784"/>
      <c r="J45" s="516" t="str">
        <f>FHD_NOTE_P_9</f>
        <v/>
      </c>
      <c r="K45" s="1863" t="str">
        <f>IF((LEN(E45)-LEN(SUBSTITUTE(E45,".","")))/LEN(".")=1,"p","")</f>
        <v/>
      </c>
      <c r="AF45" s="1858">
        <v>11</v>
      </c>
    </row>
    <row s="11238" customFormat="1" customHeight="1" ht="11.549999999999999">
      <c r="A46" s="1214"/>
      <c r="C46" s="1863"/>
      <c r="D46" s="801"/>
      <c r="E46" s="773" t="str">
        <f>FHD_NUM_P_10</f>
        <v>2.5.2</v>
      </c>
      <c r="F46" s="1877" t="str">
        <f>FHD_P_10</f>
        <v>Объём приобретения электрической энергии</v>
      </c>
      <c r="G46" s="2105" t="s">
        <v>574</v>
      </c>
      <c r="H46" s="784"/>
      <c r="I46" s="784"/>
      <c r="J46" s="516" t="str">
        <f>FHD_NOTE_P_10</f>
        <v/>
      </c>
      <c r="K46" s="1863" t="str">
        <f>IF((LEN(E46)-LEN(SUBSTITUTE(E46,".","")))/LEN(".")=1,"p","")</f>
        <v/>
      </c>
      <c r="L46" s="1863"/>
      <c r="M46" s="1863"/>
      <c r="R46" s="1863"/>
      <c r="U46" s="771"/>
      <c r="AA46" s="1859"/>
      <c r="AB46" s="1859"/>
      <c r="AC46" s="1859"/>
      <c r="AD46" s="1859"/>
      <c r="AE46" s="1859"/>
      <c r="AF46" s="1387">
        <v>11</v>
      </c>
    </row>
    <row s="11238" customFormat="1" customHeight="1" ht="11.25" hidden="1">
      <c r="A47" s="1216" t="s">
        <v>575</v>
      </c>
      <c r="C47" s="1863"/>
      <c r="D47" s="802"/>
      <c r="E47" s="773" t="str">
        <f>FHD_NUM_P_11</f>
        <v/>
      </c>
      <c r="F47" s="1751" t="str">
        <f>FHD_P_11</f>
        <v/>
      </c>
      <c r="G47" s="2105" t="s">
        <v>554</v>
      </c>
      <c r="H47" s="784"/>
      <c r="I47" s="784"/>
      <c r="J47" s="516" t="str">
        <f>FHD_NOTE_P_11</f>
        <v/>
      </c>
      <c r="K47" s="1863" t="str">
        <f>IF((LEN(E47)-LEN(SUBSTITUTE(E47,".","")))/LEN(".")=1,"p","")</f>
        <v/>
      </c>
      <c r="L47" s="1863"/>
      <c r="M47" s="1863"/>
      <c r="R47" s="1863"/>
      <c r="U47" s="771"/>
      <c r="AA47" s="1859"/>
      <c r="AB47" s="1859"/>
      <c r="AC47" s="1859"/>
      <c r="AD47" s="1859"/>
      <c r="AE47" s="1859"/>
      <c r="AF47" s="1387">
        <v>0</v>
      </c>
    </row>
    <row s="11238" customFormat="1" customHeight="1" ht="18.75" hidden="1">
      <c r="A48" s="1216" t="s">
        <v>576</v>
      </c>
      <c r="C48" s="1863"/>
      <c r="D48" s="1865"/>
      <c r="E48" s="773" t="str">
        <f>FHD_NUM_P_12</f>
        <v/>
      </c>
      <c r="F48" s="1751" t="str">
        <f>FHD_P_12</f>
        <v/>
      </c>
      <c r="G48" s="2105" t="s">
        <v>554</v>
      </c>
      <c r="H48" s="804"/>
      <c r="I48" s="804"/>
      <c r="J48" s="516" t="str">
        <f>FHD_NOTE_P_12</f>
        <v/>
      </c>
      <c r="K48" s="1863" t="str">
        <f>IF((LEN(E48)-LEN(SUBSTITUTE(E48,".","")))/LEN(".")=1,"p","")</f>
        <v/>
      </c>
      <c r="L48" s="1863"/>
      <c r="M48" s="1863"/>
      <c r="R48" s="1863"/>
      <c r="U48" s="771"/>
      <c r="AA48" s="1859"/>
      <c r="AB48" s="1859"/>
      <c r="AC48" s="1859"/>
      <c r="AD48" s="1859"/>
      <c r="AE48" s="1859"/>
      <c r="AF48" s="1387">
        <v>18</v>
      </c>
    </row>
    <row s="12761"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554</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761"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554</v>
      </c>
      <c r="H50" s="784"/>
      <c r="I50" s="784"/>
      <c r="J50" s="516" t="str">
        <f>FHD_NOTE_P_14</f>
        <v/>
      </c>
      <c r="K50" s="1863" t="str">
        <f>IF((LEN(E50)-LEN(SUBSTITUTE(E50,".","")))/LEN(".")=1,"p","")</f>
        <v/>
      </c>
      <c r="L50" s="957"/>
      <c r="M50" s="957"/>
      <c r="R50" s="957"/>
      <c r="U50" s="958"/>
      <c r="AA50" s="959"/>
      <c r="AB50" s="959"/>
      <c r="AC50" s="959"/>
      <c r="AD50" s="959"/>
      <c r="AE50" s="959"/>
      <c r="AF50" s="956">
        <v>11</v>
      </c>
    </row>
    <row s="12761"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554</v>
      </c>
      <c r="H51" s="784"/>
      <c r="I51" s="784"/>
      <c r="J51" s="516" t="str">
        <f>FHD_NOTE_P_15</f>
        <v/>
      </c>
      <c r="K51" s="1863" t="str">
        <f>IF((LEN(E51)-LEN(SUBSTITUTE(E51,".","")))/LEN(".")=1,"p","")</f>
        <v/>
      </c>
      <c r="L51" s="957"/>
      <c r="M51" s="957"/>
      <c r="R51" s="957"/>
      <c r="U51" s="958"/>
      <c r="AA51" s="959"/>
      <c r="AB51" s="959"/>
      <c r="AC51" s="959"/>
      <c r="AD51" s="959"/>
      <c r="AE51" s="959"/>
      <c r="AF51" s="956">
        <v>11</v>
      </c>
    </row>
    <row s="11238"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554</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238"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554</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238"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554</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238"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554</v>
      </c>
      <c r="H55" s="784"/>
      <c r="I55" s="784"/>
      <c r="J55" s="516" t="str">
        <f>FHD_NOTE_P_19</f>
        <v/>
      </c>
      <c r="K55" s="1863" t="str">
        <f>IF((LEN(E55)-LEN(SUBSTITUTE(E55,".","")))/LEN(".")=1,"p","")</f>
        <v>p</v>
      </c>
      <c r="L55" s="1863"/>
      <c r="M55" s="1863"/>
      <c r="R55" s="1863"/>
      <c r="U55" s="771"/>
      <c r="AA55" s="1859"/>
      <c r="AB55" s="1859"/>
      <c r="AC55" s="1859"/>
      <c r="AD55" s="1859"/>
      <c r="AE55" s="1859"/>
      <c r="AF55" s="1387">
        <v>11</v>
      </c>
    </row>
    <row s="11238" customFormat="1" customHeight="1" ht="11.549999999999999">
      <c r="A56" s="1214"/>
      <c r="C56" s="1863"/>
      <c r="D56" s="802"/>
      <c r="E56" s="773" t="str">
        <f>FHD_NUM_P_20</f>
        <v>2.8.1</v>
      </c>
      <c r="F56" s="1877" t="str">
        <f>FHD_P_20</f>
        <v>Расходы на амортизацию основных средств</v>
      </c>
      <c r="G56" s="2105" t="s">
        <v>554</v>
      </c>
      <c r="H56" s="784"/>
      <c r="I56" s="784"/>
      <c r="J56" s="516" t="str">
        <f>FHD_NOTE_P_20</f>
        <v/>
      </c>
      <c r="K56" s="1863" t="str">
        <f>IF((LEN(E56)-LEN(SUBSTITUTE(E56,".","")))/LEN(".")=1,"p","")</f>
        <v/>
      </c>
      <c r="L56" s="1863"/>
      <c r="M56" s="1863"/>
      <c r="R56" s="1863"/>
      <c r="U56" s="771"/>
      <c r="AA56" s="1859"/>
      <c r="AB56" s="1859"/>
      <c r="AC56" s="1859"/>
      <c r="AD56" s="1859"/>
      <c r="AE56" s="1859"/>
      <c r="AF56" s="1387">
        <v>11</v>
      </c>
    </row>
    <row s="11238" customFormat="1" customHeight="1" ht="11.549999999999999">
      <c r="A57" s="1214"/>
      <c r="C57" s="1863"/>
      <c r="D57" s="802"/>
      <c r="E57" s="773" t="str">
        <f>FHD_NUM_P_21</f>
        <v>2.8.2</v>
      </c>
      <c r="F57" s="1877" t="str">
        <f>FHD_P_21</f>
        <v>Расходы на амортизацию нематериальных активов</v>
      </c>
      <c r="G57" s="2105" t="s">
        <v>554</v>
      </c>
      <c r="H57" s="784"/>
      <c r="I57" s="784"/>
      <c r="J57" s="516" t="str">
        <f>FHD_NOTE_P_21</f>
        <v/>
      </c>
      <c r="K57" s="1863" t="str">
        <f>IF((LEN(E57)-LEN(SUBSTITUTE(E57,".","")))/LEN(".")=1,"p","")</f>
        <v/>
      </c>
      <c r="L57" s="1863"/>
      <c r="M57" s="1863"/>
      <c r="R57" s="1863"/>
      <c r="U57" s="771"/>
      <c r="AA57" s="1859"/>
      <c r="AB57" s="1859"/>
      <c r="AC57" s="1859"/>
      <c r="AD57" s="1859"/>
      <c r="AE57" s="1859"/>
      <c r="AF57" s="1387">
        <v>11</v>
      </c>
    </row>
    <row s="11238"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554</v>
      </c>
      <c r="H58" s="784"/>
      <c r="I58" s="784"/>
      <c r="J58" s="516" t="str">
        <f>FHD_NOTE_P_22</f>
        <v/>
      </c>
      <c r="K58" s="1863" t="str">
        <f>IF((LEN(E58)-LEN(SUBSTITUTE(E58,".","")))/LEN(".")=1,"p","")</f>
        <v>p</v>
      </c>
      <c r="L58" s="1863"/>
      <c r="M58" s="1863"/>
      <c r="R58" s="1863"/>
      <c r="U58" s="771"/>
      <c r="AA58" s="1859"/>
      <c r="AB58" s="1859"/>
      <c r="AC58" s="1859"/>
      <c r="AD58" s="1859"/>
      <c r="AE58" s="1859"/>
      <c r="AF58" s="1387">
        <v>11</v>
      </c>
    </row>
    <row s="11238" customFormat="1" customHeight="1" ht="11.549999999999999">
      <c r="A59" s="1214"/>
      <c r="C59" s="1863"/>
      <c r="D59" s="802"/>
      <c r="E59" s="773" t="str">
        <f>FHD_NUM_P_23</f>
        <v>2.10</v>
      </c>
      <c r="F59" s="1751" t="str">
        <f>FHD_P_23</f>
        <v>Общепроизводственные расходы, в том числе:</v>
      </c>
      <c r="G59" s="2105" t="s">
        <v>554</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38" customFormat="1" customHeight="1" ht="11.549999999999999">
      <c r="A60" s="1214"/>
      <c r="C60" s="1863"/>
      <c r="D60" s="802"/>
      <c r="E60" s="773" t="str">
        <f>FHD_NUM_P_24</f>
        <v>2.10.1</v>
      </c>
      <c r="F60" s="1877" t="str">
        <f>FHD_P_24</f>
        <v>Расходы на текущий ремонт</v>
      </c>
      <c r="G60" s="2105" t="s">
        <v>554</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38" customFormat="1" customHeight="1" ht="11.549999999999999">
      <c r="A61" s="1214"/>
      <c r="C61" s="1863"/>
      <c r="D61" s="802"/>
      <c r="E61" s="773" t="str">
        <f>FHD_NUM_P_25</f>
        <v>2.10.2</v>
      </c>
      <c r="F61" s="1877" t="str">
        <f>FHD_P_25</f>
        <v>Расходы на капитальный ремонт</v>
      </c>
      <c r="G61" s="2105" t="s">
        <v>554</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38" customFormat="1" customHeight="1" ht="11.549999999999999">
      <c r="A62" s="1214"/>
      <c r="C62" s="1863"/>
      <c r="D62" s="1865"/>
      <c r="E62" s="773" t="str">
        <f>FHD_NUM_P_26</f>
        <v>2.11</v>
      </c>
      <c r="F62" s="1751" t="str">
        <f>FHD_P_26</f>
        <v>Общехозяйственные расходы, в том числе:</v>
      </c>
      <c r="G62" s="2105" t="s">
        <v>554</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38" customFormat="1" customHeight="1" ht="11.549999999999999">
      <c r="A63" s="1214"/>
      <c r="C63" s="1863"/>
      <c r="D63" s="1865"/>
      <c r="E63" s="773" t="str">
        <f>FHD_NUM_P_27</f>
        <v>2.11.1</v>
      </c>
      <c r="F63" s="1877" t="str">
        <f>FHD_P_27</f>
        <v>Расходы на текущий ремонт</v>
      </c>
      <c r="G63" s="2105" t="s">
        <v>554</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38" customFormat="1" customHeight="1" ht="11.549999999999999">
      <c r="A64" s="1214"/>
      <c r="C64" s="1863"/>
      <c r="D64" s="1865"/>
      <c r="E64" s="773" t="str">
        <f>FHD_NUM_P_28</f>
        <v>2.11.2</v>
      </c>
      <c r="F64" s="1877" t="str">
        <f>FHD_P_28</f>
        <v>Расходы на капитальный ремонт</v>
      </c>
      <c r="G64" s="2105" t="s">
        <v>554</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38"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554</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38"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308</v>
      </c>
      <c r="H66" s="1876" t="s">
        <v>577</v>
      </c>
      <c r="I66" s="1876" t="s">
        <v>577</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38" customFormat="1" customHeight="1" ht="23.25">
      <c r="A67" s="2598" t="s">
        <v>578</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554</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238"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308</v>
      </c>
      <c r="H68" s="1876" t="s">
        <v>577</v>
      </c>
      <c r="I68" s="1876" t="s">
        <v>577</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38"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554</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239" customFormat="1" customHeight="1" ht="1.05">
      <c r="A70" s="1394"/>
      <c r="D70" s="775"/>
      <c r="E70" s="1240" t="str">
        <f>E69&amp;".0"</f>
        <v>2.14.0</v>
      </c>
      <c r="F70" s="1218"/>
      <c r="G70" s="1240"/>
      <c r="H70" s="1219"/>
      <c r="I70" s="1219"/>
      <c r="J70" s="1220"/>
      <c r="K70" s="1863" t="str">
        <f>IF((LEN(E70)-LEN(SUBSTITUTE(E70,".","")))/LEN(".")=1,"p","")</f>
        <v/>
      </c>
      <c r="AF70" s="1863">
        <v>1</v>
      </c>
    </row>
    <row s="11238" customFormat="1" customHeight="1" ht="14.699999999999998">
      <c r="A71" s="1214"/>
      <c r="C71" s="1863"/>
      <c r="D71" s="1860"/>
      <c r="E71" s="797"/>
      <c r="F71" s="798" t="s">
        <v>579</v>
      </c>
      <c r="G71" s="799"/>
      <c r="H71" s="800"/>
      <c r="I71" s="800"/>
      <c r="J71" s="528"/>
      <c r="K71" s="1863"/>
      <c r="L71" s="1863"/>
      <c r="M71" s="1863"/>
      <c r="R71" s="1863"/>
      <c r="U71" s="771"/>
      <c r="AA71" s="1859"/>
      <c r="AB71" s="1859"/>
      <c r="AC71" s="1859"/>
      <c r="AD71" s="1859"/>
      <c r="AE71" s="1859"/>
      <c r="AF71" s="1387">
        <v>14</v>
      </c>
    </row>
    <row s="11238" customFormat="1" customHeight="1" ht="18.75" hidden="1">
      <c r="A72" s="1216" t="s">
        <v>580</v>
      </c>
      <c r="C72" s="1863"/>
      <c r="D72" s="1865"/>
      <c r="E72" s="773" t="str">
        <f>FHD_NUM_P_34</f>
        <v/>
      </c>
      <c r="F72" s="2107" t="str">
        <f>FHD_P_34</f>
        <v/>
      </c>
      <c r="G72" s="2105" t="s">
        <v>554</v>
      </c>
      <c r="H72" s="784"/>
      <c r="I72" s="784"/>
      <c r="J72" s="516" t="str">
        <f>FHD_NOTE_P_34</f>
        <v/>
      </c>
      <c r="K72" s="770"/>
      <c r="L72" s="1863"/>
      <c r="M72" s="1863"/>
      <c r="R72" s="1863"/>
      <c r="U72" s="771"/>
      <c r="AA72" s="1859"/>
      <c r="AB72" s="1859"/>
      <c r="AC72" s="1859"/>
      <c r="AD72" s="1859"/>
      <c r="AE72" s="1859"/>
      <c r="AF72" s="1387">
        <v>0</v>
      </c>
    </row>
    <row s="11238"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554</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38"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554</v>
      </c>
      <c r="H74" s="784"/>
      <c r="I74" s="784"/>
      <c r="J74" s="516" t="str">
        <f>FHD_NOTE_P_36</f>
        <v/>
      </c>
      <c r="K74" s="770"/>
      <c r="L74" s="1863"/>
      <c r="M74" s="1863"/>
      <c r="R74" s="1863"/>
      <c r="U74" s="771"/>
      <c r="AA74" s="1859"/>
      <c r="AB74" s="1859"/>
      <c r="AC74" s="1859"/>
      <c r="AD74" s="1859"/>
      <c r="AE74" s="1859"/>
      <c r="AF74" s="1387">
        <v>19</v>
      </c>
    </row>
    <row s="11238" customFormat="1" customHeight="1" ht="19.95">
      <c r="A75" s="1214"/>
      <c r="C75" s="1863"/>
      <c r="D75" s="1865"/>
      <c r="E75" s="773" t="str">
        <f>FHD_NUM_P_37</f>
        <v>4</v>
      </c>
      <c r="F75" s="2107" t="str">
        <f>FHD_P_37</f>
        <v>Изменение стоимости основных фондов, в том числе:</v>
      </c>
      <c r="G75" s="2105" t="s">
        <v>554</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38"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554</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38"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554</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38"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554</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38" customFormat="1" customHeight="1" ht="19.95">
      <c r="A79" s="1214"/>
      <c r="C79" s="1863"/>
      <c r="D79" s="1865"/>
      <c r="E79" s="773" t="str">
        <f>FHD_NUM_P_41</f>
        <v>4.2</v>
      </c>
      <c r="F79" s="2302" t="str">
        <f>FHD_P_41</f>
        <v>Изменение стоимости основных фондов за счет их переоценки</v>
      </c>
      <c r="G79" s="2298" t="s">
        <v>554</v>
      </c>
      <c r="H79" s="1203"/>
      <c r="I79" s="784"/>
      <c r="J79" s="516" t="str">
        <f>FHD_NOTE_P_41</f>
        <v/>
      </c>
      <c r="K79" s="770"/>
      <c r="L79" s="1863"/>
      <c r="M79" s="1863"/>
      <c r="R79" s="1863"/>
      <c r="U79" s="771"/>
      <c r="AA79" s="1859"/>
      <c r="AB79" s="1859"/>
      <c r="AC79" s="1859"/>
      <c r="AD79" s="1859"/>
      <c r="AE79" s="1859"/>
      <c r="AF79" s="1387">
        <v>19</v>
      </c>
    </row>
    <row s="11238" customFormat="1" customHeight="1" ht="19.95">
      <c r="A80" s="1216" t="s">
        <v>581</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554</v>
      </c>
      <c r="H80" s="1203"/>
      <c r="I80" s="784"/>
      <c r="J80" s="516" t="str">
        <f>FHD_NOTE_P_42</f>
        <v/>
      </c>
      <c r="K80" s="770"/>
      <c r="L80" s="1863"/>
      <c r="M80" s="1863"/>
      <c r="R80" s="1863"/>
      <c r="U80" s="771"/>
      <c r="AA80" s="1859"/>
      <c r="AB80" s="1859"/>
      <c r="AC80" s="1859"/>
      <c r="AD80" s="1859"/>
      <c r="AE80" s="1859"/>
      <c r="AF80" s="1387">
        <v>19</v>
      </c>
    </row>
    <row s="11238"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308</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238" customFormat="1" customHeight="1" ht="18.75" hidden="1">
      <c r="A82" s="2598" t="s">
        <v>582</v>
      </c>
      <c r="C82" s="962"/>
      <c r="D82" s="960"/>
      <c r="E82" s="773" t="str">
        <f>FHD_NUM_P_44</f>
        <v/>
      </c>
      <c r="F82" s="2107" t="str">
        <f>FHD_P_44</f>
        <v/>
      </c>
      <c r="G82" s="2108" t="s">
        <v>583</v>
      </c>
      <c r="H82" s="1204"/>
      <c r="I82" s="804"/>
      <c r="J82" s="516" t="str">
        <f>FHD_NOTE_P_44</f>
        <v/>
      </c>
      <c r="K82" s="961"/>
      <c r="L82" s="962"/>
      <c r="M82" s="962"/>
      <c r="R82" s="962"/>
      <c r="U82" s="963"/>
      <c r="AA82" s="964"/>
      <c r="AB82" s="964"/>
      <c r="AC82" s="964"/>
      <c r="AD82" s="964"/>
      <c r="AE82" s="964"/>
      <c r="AF82" s="1137">
        <v>0</v>
      </c>
    </row>
    <row s="11238" customFormat="1" customHeight="1" ht="18.75" hidden="1">
      <c r="A83" s="2598"/>
      <c r="C83" s="962"/>
      <c r="D83" s="960"/>
      <c r="E83" s="773" t="str">
        <f>FHD_NUM_P_45</f>
        <v/>
      </c>
      <c r="F83" s="2107" t="str">
        <f>FHD_P_45</f>
        <v/>
      </c>
      <c r="G83" s="2108" t="s">
        <v>583</v>
      </c>
      <c r="H83" s="1204"/>
      <c r="I83" s="804"/>
      <c r="J83" s="516" t="str">
        <f>FHD_NOTE_P_45</f>
        <v/>
      </c>
      <c r="K83" s="961"/>
      <c r="L83" s="962"/>
      <c r="M83" s="962"/>
      <c r="R83" s="962"/>
      <c r="U83" s="963"/>
      <c r="AA83" s="964"/>
      <c r="AB83" s="964"/>
      <c r="AC83" s="964"/>
      <c r="AD83" s="964"/>
      <c r="AE83" s="964"/>
      <c r="AF83" s="1137">
        <v>0</v>
      </c>
    </row>
    <row s="11238" customFormat="1" customHeight="1" ht="18.75" hidden="1">
      <c r="A84" s="2598"/>
      <c r="C84" s="962"/>
      <c r="D84" s="965"/>
      <c r="E84" s="773" t="str">
        <f>FHD_NUM_P_46</f>
        <v/>
      </c>
      <c r="F84" s="2107" t="str">
        <f>FHD_P_46</f>
        <v/>
      </c>
      <c r="G84" s="2108" t="s">
        <v>583</v>
      </c>
      <c r="H84" s="1204"/>
      <c r="I84" s="804"/>
      <c r="J84" s="516" t="str">
        <f>FHD_NOTE_P_46</f>
        <v/>
      </c>
      <c r="K84" s="961"/>
      <c r="L84" s="962"/>
      <c r="M84" s="962"/>
      <c r="R84" s="962"/>
      <c r="U84" s="963"/>
      <c r="AA84" s="964"/>
      <c r="AB84" s="964"/>
      <c r="AC84" s="964"/>
      <c r="AD84" s="964"/>
      <c r="AE84" s="964"/>
      <c r="AF84" s="1137">
        <v>0</v>
      </c>
    </row>
    <row s="11238" customFormat="1" customHeight="1" ht="18.75" hidden="1">
      <c r="A85" s="2598"/>
      <c r="C85" s="962"/>
      <c r="D85" s="960"/>
      <c r="E85" s="773" t="str">
        <f>FHD_NUM_P_47</f>
        <v/>
      </c>
      <c r="F85" s="2107" t="str">
        <f>FHD_P_47</f>
        <v/>
      </c>
      <c r="G85" s="2108" t="s">
        <v>583</v>
      </c>
      <c r="H85" s="1204"/>
      <c r="I85" s="804"/>
      <c r="J85" s="516" t="str">
        <f>FHD_NOTE_P_47</f>
        <v/>
      </c>
      <c r="K85" s="961"/>
      <c r="L85" s="962"/>
      <c r="M85" s="962"/>
      <c r="R85" s="962"/>
      <c r="U85" s="963"/>
      <c r="AA85" s="964"/>
      <c r="AB85" s="964"/>
      <c r="AC85" s="964"/>
      <c r="AD85" s="964"/>
      <c r="AE85" s="964"/>
      <c r="AF85" s="1137">
        <v>0</v>
      </c>
    </row>
    <row s="11160" customFormat="1" customHeight="1" ht="18.75" hidden="1">
      <c r="A86" s="2598"/>
      <c r="B86" s="1137"/>
      <c r="C86" s="962"/>
      <c r="D86" s="960"/>
      <c r="E86" s="773" t="str">
        <f>FHD_NUM_P_48</f>
        <v/>
      </c>
      <c r="F86" s="2107" t="str">
        <f>FHD_P_48</f>
        <v/>
      </c>
      <c r="G86" s="2108" t="s">
        <v>583</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160" customFormat="1" customHeight="1" ht="18.75" hidden="1">
      <c r="A87" s="2598"/>
      <c r="B87" s="1137"/>
      <c r="C87" s="962"/>
      <c r="D87" s="960"/>
      <c r="E87" s="773" t="str">
        <f>FHD_NUM_P_49</f>
        <v/>
      </c>
      <c r="F87" s="2107" t="str">
        <f>FHD_P_49</f>
        <v/>
      </c>
      <c r="G87" s="2108" t="s">
        <v>583</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160" customFormat="1" customHeight="1" ht="18.75" hidden="1">
      <c r="A88" s="2598"/>
      <c r="B88" s="1137"/>
      <c r="C88" s="962"/>
      <c r="D88" s="960"/>
      <c r="E88" s="773" t="str">
        <f>FHD_NUM_P_50</f>
        <v/>
      </c>
      <c r="F88" s="2107" t="str">
        <f>FHD_P_50</f>
        <v/>
      </c>
      <c r="G88" s="2108" t="s">
        <v>583</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160" customFormat="1" customHeight="1" ht="18.75" hidden="1">
      <c r="A89" s="2598"/>
      <c r="B89" s="1137"/>
      <c r="C89" s="962"/>
      <c r="D89" s="960"/>
      <c r="E89" s="773" t="str">
        <f>FHD_NUM_P_51</f>
        <v/>
      </c>
      <c r="F89" s="2107" t="str">
        <f>FHD_P_51</f>
        <v/>
      </c>
      <c r="G89" s="2108" t="s">
        <v>583</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160" customFormat="1" customHeight="1" ht="18.75" hidden="1">
      <c r="A90" s="2598"/>
      <c r="B90" s="1137"/>
      <c r="C90" s="962"/>
      <c r="D90" s="960"/>
      <c r="E90" s="773" t="str">
        <f>FHD_NUM_P_52</f>
        <v/>
      </c>
      <c r="F90" s="2107" t="str">
        <f>FHD_P_52</f>
        <v/>
      </c>
      <c r="G90" s="2108" t="s">
        <v>560</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38" customFormat="1" customHeight="1" ht="18.75">
      <c r="A91" s="2600" t="s">
        <v>584</v>
      </c>
      <c r="C91" s="962"/>
      <c r="D91" s="960"/>
      <c r="E91" s="773" t="str">
        <f>FHD_NUM_P_53</f>
        <v>7</v>
      </c>
      <c r="F91" s="2107" t="str">
        <f>FHD_P_53</f>
        <v>Объём приобретаемой холодной воды, используемой для горячего водоснабжения</v>
      </c>
      <c r="G91" s="2108" t="s">
        <v>583</v>
      </c>
      <c r="H91" s="1204"/>
      <c r="I91" s="804"/>
      <c r="J91" s="516" t="str">
        <f>FHD_NOTE_P_53</f>
        <v/>
      </c>
      <c r="K91" s="961"/>
      <c r="L91" s="962"/>
      <c r="M91" s="962"/>
      <c r="R91" s="962"/>
      <c r="U91" s="963"/>
      <c r="AA91" s="964"/>
      <c r="AB91" s="964"/>
      <c r="AC91" s="964"/>
      <c r="AD91" s="964"/>
      <c r="AE91" s="964"/>
      <c r="AF91" s="1137">
        <v>0</v>
      </c>
    </row>
    <row s="11238"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583</v>
      </c>
      <c r="H92" s="1204"/>
      <c r="I92" s="804"/>
      <c r="J92" s="516" t="str">
        <f>FHD_NOTE_P_54</f>
        <v/>
      </c>
      <c r="K92" s="961"/>
      <c r="L92" s="962"/>
      <c r="M92" s="962"/>
      <c r="R92" s="962"/>
      <c r="U92" s="963"/>
      <c r="AA92" s="964"/>
      <c r="AB92" s="964"/>
      <c r="AC92" s="964"/>
      <c r="AD92" s="964"/>
      <c r="AE92" s="964"/>
      <c r="AF92" s="1137">
        <v>0</v>
      </c>
    </row>
    <row s="11238"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1238"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585</v>
      </c>
      <c r="H94" s="1204"/>
      <c r="I94" s="804"/>
      <c r="J94" s="516" t="str">
        <f>FHD_NOTE_P_56</f>
        <v/>
      </c>
      <c r="K94" s="961"/>
      <c r="L94" s="962"/>
      <c r="M94" s="962"/>
      <c r="R94" s="962"/>
      <c r="U94" s="963"/>
      <c r="AA94" s="964"/>
      <c r="AB94" s="964"/>
      <c r="AC94" s="964"/>
      <c r="AD94" s="964"/>
      <c r="AE94" s="964"/>
      <c r="AF94" s="1137">
        <v>0</v>
      </c>
    </row>
    <row s="11160" customFormat="1" customHeight="1" ht="18.75">
      <c r="A95" s="2600"/>
      <c r="B95" s="1137"/>
      <c r="C95" s="962"/>
      <c r="D95" s="960"/>
      <c r="E95" s="773" t="str">
        <f>FHD_NUM_P_57</f>
        <v>11</v>
      </c>
      <c r="F95" s="2107" t="str">
        <f>FHD_P_57</f>
        <v>Потери горячей воды в сетях (процентов)</v>
      </c>
      <c r="G95" s="2108" t="s">
        <v>560</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586</v>
      </c>
      <c r="D96" s="1865"/>
      <c r="E96" s="773" t="str">
        <f>FHD_NUM_P_58</f>
        <v/>
      </c>
      <c r="F96" s="2107" t="str">
        <f>FHD_P_58</f>
        <v/>
      </c>
      <c r="G96" s="2108" t="s">
        <v>583</v>
      </c>
      <c r="H96" s="1204"/>
      <c r="I96" s="804"/>
      <c r="J96" s="516" t="str">
        <f>FHD_NOTE_P_58</f>
        <v/>
      </c>
      <c r="K96" s="770"/>
      <c r="AF96" s="1858">
        <v>0</v>
      </c>
    </row>
    <row customHeight="1" ht="18.75" hidden="1">
      <c r="A97" s="2598"/>
      <c r="D97" s="1865"/>
      <c r="E97" s="773" t="str">
        <f>FHD_NUM_P_59</f>
        <v/>
      </c>
      <c r="F97" s="2107" t="str">
        <f>FHD_P_59</f>
        <v/>
      </c>
      <c r="G97" s="2108" t="s">
        <v>583</v>
      </c>
      <c r="H97" s="1204"/>
      <c r="I97" s="804"/>
      <c r="J97" s="516" t="str">
        <f>FHD_NOTE_P_59</f>
        <v/>
      </c>
      <c r="K97" s="770"/>
      <c r="AF97" s="1858">
        <v>0</v>
      </c>
    </row>
    <row customHeight="1" ht="18.75" hidden="1">
      <c r="A98" s="2598"/>
      <c r="D98" s="1865"/>
      <c r="E98" s="773" t="str">
        <f>FHD_NUM_P_60</f>
        <v/>
      </c>
      <c r="F98" s="2107" t="str">
        <f>FHD_P_60</f>
        <v/>
      </c>
      <c r="G98" s="2108" t="s">
        <v>583</v>
      </c>
      <c r="H98" s="1204"/>
      <c r="I98" s="804"/>
      <c r="J98" s="516" t="str">
        <f>FHD_NOTE_P_60</f>
        <v/>
      </c>
      <c r="K98" s="770"/>
      <c r="AF98" s="1858">
        <v>0</v>
      </c>
    </row>
    <row s="11238" customFormat="1" customHeight="1" ht="18.75" hidden="1">
      <c r="A99" s="2598" t="s">
        <v>587</v>
      </c>
      <c r="C99" s="1863"/>
      <c r="D99" s="1865"/>
      <c r="E99" s="773" t="str">
        <f>FHD_NUM_P_61</f>
        <v/>
      </c>
      <c r="F99" s="2107" t="str">
        <f>FHD_P_61</f>
        <v/>
      </c>
      <c r="G99" s="2105" t="s">
        <v>558</v>
      </c>
      <c r="H99" s="1206"/>
      <c r="I99" s="969"/>
      <c r="J99" s="516" t="str">
        <f>FHD_NOTE_P_61</f>
        <v/>
      </c>
      <c r="K99" s="770"/>
      <c r="L99" s="1863"/>
      <c r="M99" s="1863"/>
      <c r="R99" s="1863"/>
      <c r="U99" s="771"/>
      <c r="AA99" s="1859"/>
      <c r="AB99" s="1859"/>
      <c r="AC99" s="1859"/>
      <c r="AD99" s="1859"/>
      <c r="AE99" s="1859"/>
      <c r="AF99" s="1387">
        <v>0</v>
      </c>
    </row>
    <row s="11239"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588</v>
      </c>
      <c r="G101" s="799"/>
      <c r="H101" s="800"/>
      <c r="I101" s="800"/>
      <c r="J101" s="1231" t="s">
        <v>589</v>
      </c>
      <c r="K101" s="770"/>
      <c r="AF101" s="1858">
        <v>0</v>
      </c>
    </row>
    <row s="11238" customFormat="1" customHeight="1" ht="18.75" hidden="1">
      <c r="A102" s="2598"/>
      <c r="C102" s="1863"/>
      <c r="D102" s="1865"/>
      <c r="E102" s="773" t="str">
        <f>FHD_NUM_P_62</f>
        <v/>
      </c>
      <c r="F102" s="2107" t="str">
        <f>FHD_P_62</f>
        <v/>
      </c>
      <c r="G102" s="2104" t="s">
        <v>558</v>
      </c>
      <c r="H102" s="784"/>
      <c r="I102" s="784"/>
      <c r="J102" s="516" t="str">
        <f>FHD_NOTE_P_62</f>
        <v/>
      </c>
      <c r="K102" s="770"/>
      <c r="L102" s="1863"/>
      <c r="M102" s="1863"/>
      <c r="R102" s="1863"/>
      <c r="U102" s="771"/>
      <c r="AA102" s="1859"/>
      <c r="AB102" s="1859"/>
      <c r="AC102" s="1859"/>
      <c r="AD102" s="1859"/>
      <c r="AE102" s="1859"/>
      <c r="AF102" s="1387">
        <v>0</v>
      </c>
    </row>
    <row s="11238" customFormat="1" customHeight="1" ht="18.75" hidden="1">
      <c r="A103" s="2598"/>
      <c r="C103" s="1863"/>
      <c r="D103" s="1865"/>
      <c r="E103" s="773" t="str">
        <f>FHD_NUM_P_63</f>
        <v/>
      </c>
      <c r="F103" s="2107" t="str">
        <f>FHD_P_63</f>
        <v/>
      </c>
      <c r="G103" s="2104" t="s">
        <v>585</v>
      </c>
      <c r="H103" s="804"/>
      <c r="I103" s="804"/>
      <c r="J103" s="516" t="str">
        <f>FHD_NOTE_P_63</f>
        <v/>
      </c>
      <c r="K103" s="770"/>
      <c r="L103" s="1863"/>
      <c r="M103" s="1863"/>
      <c r="R103" s="1863"/>
      <c r="U103" s="771"/>
      <c r="AA103" s="1859"/>
      <c r="AB103" s="1859"/>
      <c r="AC103" s="1859"/>
      <c r="AD103" s="1859"/>
      <c r="AE103" s="1859"/>
      <c r="AF103" s="1387">
        <v>0</v>
      </c>
    </row>
    <row s="11238" customFormat="1" customHeight="1" ht="18.75" hidden="1">
      <c r="A104" s="2598"/>
      <c r="C104" s="1863" t="s">
        <v>590</v>
      </c>
      <c r="D104" s="1865"/>
      <c r="E104" s="773" t="str">
        <f>FHD_NUM_P_64</f>
        <v/>
      </c>
      <c r="F104" s="2107" t="str">
        <f>FHD_P_64</f>
        <v/>
      </c>
      <c r="G104" s="2104" t="s">
        <v>585</v>
      </c>
      <c r="H104" s="772"/>
      <c r="I104" s="772"/>
      <c r="J104" s="516" t="str">
        <f>FHD_NOTE_P_64</f>
        <v/>
      </c>
      <c r="K104" s="770"/>
      <c r="L104" s="1863"/>
      <c r="M104" s="1863"/>
      <c r="R104" s="1863"/>
      <c r="U104" s="771"/>
      <c r="AA104" s="1859"/>
      <c r="AB104" s="1859"/>
      <c r="AC104" s="1859"/>
      <c r="AD104" s="1859"/>
      <c r="AE104" s="1859"/>
      <c r="AF104" s="1387">
        <v>0</v>
      </c>
    </row>
    <row s="11238" customFormat="1" customHeight="1" ht="18.75" hidden="1">
      <c r="A105" s="2598"/>
      <c r="C105" s="1863"/>
      <c r="D105" s="1865"/>
      <c r="E105" s="773" t="str">
        <f>FHD_NUM_P_65</f>
        <v/>
      </c>
      <c r="F105" s="2107" t="str">
        <f>FHD_P_65</f>
        <v/>
      </c>
      <c r="G105" s="2104" t="s">
        <v>585</v>
      </c>
      <c r="H105" s="804"/>
      <c r="I105" s="804"/>
      <c r="J105" s="516" t="str">
        <f>FHD_NOTE_P_65</f>
        <v/>
      </c>
      <c r="K105" s="770"/>
      <c r="L105" s="1863"/>
      <c r="M105" s="1863"/>
      <c r="R105" s="1863"/>
      <c r="U105" s="771"/>
      <c r="AA105" s="1859"/>
      <c r="AB105" s="1859"/>
      <c r="AC105" s="1859"/>
      <c r="AD105" s="1859"/>
      <c r="AE105" s="1859"/>
      <c r="AF105" s="1387">
        <v>0</v>
      </c>
    </row>
    <row s="11238" customFormat="1" customHeight="1" ht="18.75" hidden="1">
      <c r="A106" s="2598"/>
      <c r="C106" s="1863"/>
      <c r="D106" s="1865"/>
      <c r="E106" s="773" t="str">
        <f>FHD_NUM_P_66</f>
        <v/>
      </c>
      <c r="F106" s="1751" t="str">
        <f>FHD_P_66</f>
        <v/>
      </c>
      <c r="G106" s="2104" t="s">
        <v>585</v>
      </c>
      <c r="H106" s="804"/>
      <c r="I106" s="804"/>
      <c r="J106" s="516" t="str">
        <f>FHD_NOTE_P_66</f>
        <v/>
      </c>
      <c r="K106" s="770"/>
      <c r="L106" s="1863"/>
      <c r="M106" s="1863"/>
      <c r="R106" s="1863"/>
      <c r="U106" s="771"/>
      <c r="AA106" s="1859"/>
      <c r="AB106" s="1859"/>
      <c r="AC106" s="1859"/>
      <c r="AD106" s="1859"/>
      <c r="AE106" s="1859"/>
      <c r="AF106" s="1387">
        <v>0</v>
      </c>
    </row>
    <row s="11238" customFormat="1" customHeight="1" ht="18.75" hidden="1">
      <c r="A107" s="2598"/>
      <c r="C107" s="1863"/>
      <c r="D107" s="1865"/>
      <c r="E107" s="773" t="str">
        <f>FHD_NUM_P_67</f>
        <v/>
      </c>
      <c r="F107" s="1877" t="str">
        <f>FHD_P_67</f>
        <v/>
      </c>
      <c r="G107" s="2104" t="s">
        <v>585</v>
      </c>
      <c r="H107" s="804"/>
      <c r="I107" s="804"/>
      <c r="J107" s="516" t="str">
        <f>FHD_NOTE_P_67</f>
        <v/>
      </c>
      <c r="K107" s="770"/>
      <c r="L107" s="1863"/>
      <c r="M107" s="1863"/>
      <c r="R107" s="1863"/>
      <c r="U107" s="771"/>
      <c r="AA107" s="1859"/>
      <c r="AB107" s="1859"/>
      <c r="AC107" s="1859"/>
      <c r="AD107" s="1859"/>
      <c r="AE107" s="1859"/>
      <c r="AF107" s="1387">
        <v>0</v>
      </c>
    </row>
    <row s="11238" customFormat="1" customHeight="1" ht="18.75" hidden="1">
      <c r="A108" s="2598"/>
      <c r="C108" s="1863"/>
      <c r="D108" s="1865"/>
      <c r="E108" s="773" t="str">
        <f>FHD_NUM_P_68</f>
        <v/>
      </c>
      <c r="F108" s="1751" t="str">
        <f>FHD_P_68</f>
        <v/>
      </c>
      <c r="G108" s="2104" t="s">
        <v>585</v>
      </c>
      <c r="H108" s="804"/>
      <c r="I108" s="804"/>
      <c r="J108" s="516" t="str">
        <f>FHD_NOTE_P_68</f>
        <v/>
      </c>
      <c r="K108" s="770"/>
      <c r="L108" s="1863"/>
      <c r="M108" s="1863"/>
      <c r="R108" s="1863"/>
      <c r="U108" s="771"/>
      <c r="AA108" s="1859"/>
      <c r="AB108" s="1859"/>
      <c r="AC108" s="1859"/>
      <c r="AD108" s="1859"/>
      <c r="AE108" s="1859"/>
      <c r="AF108" s="1387">
        <v>0</v>
      </c>
    </row>
    <row s="11238" customFormat="1" customHeight="1" ht="18.75" hidden="1">
      <c r="A109" s="2598"/>
      <c r="C109" s="1863"/>
      <c r="D109" s="1865"/>
      <c r="E109" s="773" t="str">
        <f>FHD_NUM_P_69</f>
        <v/>
      </c>
      <c r="F109" s="1751" t="str">
        <f>FHD_P_69</f>
        <v/>
      </c>
      <c r="G109" s="2104" t="s">
        <v>585</v>
      </c>
      <c r="H109" s="804"/>
      <c r="I109" s="804"/>
      <c r="J109" s="516" t="str">
        <f>FHD_NOTE_P_69</f>
        <v/>
      </c>
      <c r="K109" s="770"/>
      <c r="L109" s="1863"/>
      <c r="M109" s="1863"/>
      <c r="R109" s="1863"/>
      <c r="U109" s="771"/>
      <c r="AA109" s="1859"/>
      <c r="AB109" s="1859"/>
      <c r="AC109" s="1859"/>
      <c r="AD109" s="1859"/>
      <c r="AE109" s="1859"/>
      <c r="AF109" s="1387">
        <v>0</v>
      </c>
    </row>
    <row s="11238" customFormat="1" customHeight="1" ht="22.5" hidden="1">
      <c r="A110" s="2598"/>
      <c r="C110" s="1863"/>
      <c r="D110" s="1865"/>
      <c r="E110" s="773" t="str">
        <f>FHD_NUM_P_70</f>
        <v/>
      </c>
      <c r="F110" s="2107" t="str">
        <f>FHD_P_70</f>
        <v/>
      </c>
      <c r="G110" s="2104" t="s">
        <v>591</v>
      </c>
      <c r="H110" s="784"/>
      <c r="I110" s="784"/>
      <c r="J110" s="516" t="str">
        <f>FHD_NOTE_P_70</f>
        <v/>
      </c>
      <c r="K110" s="770"/>
      <c r="L110" s="1863"/>
      <c r="M110" s="1863"/>
      <c r="R110" s="1863"/>
      <c r="U110" s="771"/>
      <c r="AA110" s="1859"/>
      <c r="AB110" s="1859"/>
      <c r="AC110" s="1859"/>
      <c r="AD110" s="1859"/>
      <c r="AE110" s="1859"/>
      <c r="AF110" s="1387">
        <v>0</v>
      </c>
    </row>
    <row s="11238" customFormat="1" customHeight="1" ht="22.5" hidden="1">
      <c r="A111" s="2598"/>
      <c r="C111" s="1863"/>
      <c r="D111" s="1865"/>
      <c r="E111" s="773" t="str">
        <f>FHD_NUM_P_71</f>
        <v/>
      </c>
      <c r="F111" s="2107" t="str">
        <f>FHD_P_71</f>
        <v/>
      </c>
      <c r="G111" s="2104" t="s">
        <v>591</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592</v>
      </c>
      <c r="H112" s="804"/>
      <c r="I112" s="804"/>
      <c r="J112" s="516" t="str">
        <f>FHD_NOTE_P_72</f>
        <v/>
      </c>
      <c r="K112" s="770"/>
      <c r="AF112" s="1858">
        <v>19</v>
      </c>
    </row>
    <row customHeight="1" ht="18.75" hidden="1">
      <c r="A113" s="1216" t="s">
        <v>593</v>
      </c>
      <c r="D113" s="1865"/>
      <c r="E113" s="773" t="str">
        <f>FHD_NUM_P_73</f>
        <v/>
      </c>
      <c r="F113" s="2107" t="str">
        <f>FHD_P_73</f>
        <v/>
      </c>
      <c r="G113" s="1197" t="s">
        <v>592</v>
      </c>
      <c r="H113" s="1195"/>
      <c r="I113" s="1195"/>
      <c r="J113" s="516" t="str">
        <f>FHD_NOTE_P_73</f>
        <v/>
      </c>
      <c r="K113" s="770"/>
      <c r="AF113" s="1858">
        <v>0</v>
      </c>
    </row>
    <row customHeight="1" ht="33.75">
      <c r="A114" s="1216" t="s">
        <v>594</v>
      </c>
      <c r="D114" s="1865"/>
      <c r="E114" s="773" t="str">
        <f>FHD_NUM_P_74</f>
        <v>13</v>
      </c>
      <c r="F114" s="2107" t="str">
        <f>FHD_P_74</f>
        <v>Удельный расход электрической энергии на подачу воды в сеть</v>
      </c>
      <c r="G114" s="2103" t="s">
        <v>595</v>
      </c>
      <c r="H114" s="804"/>
      <c r="I114" s="804"/>
      <c r="J114" s="516" t="str">
        <f>FHD_NOTE_P_74</f>
        <v/>
      </c>
      <c r="K114" s="770"/>
      <c r="AF114" s="1858">
        <v>0</v>
      </c>
    </row>
    <row s="11160" customFormat="1" customHeight="1" ht="18.75" hidden="1">
      <c r="A115" s="2600" t="s">
        <v>596</v>
      </c>
      <c r="B115" s="1137"/>
      <c r="C115" s="962"/>
      <c r="D115" s="960"/>
      <c r="E115" s="773" t="str">
        <f>FHD_NUM_P_75</f>
        <v/>
      </c>
      <c r="F115" s="2107" t="str">
        <f>FHD_P_75</f>
        <v/>
      </c>
      <c r="G115" s="2103" t="s">
        <v>560</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160" customFormat="1" customHeight="1" ht="18.75" hidden="1">
      <c r="A116" s="2600"/>
      <c r="B116" s="1137"/>
      <c r="C116" s="962"/>
      <c r="D116" s="960"/>
      <c r="E116" s="773" t="str">
        <f>FHD_NUM_P_76</f>
        <v/>
      </c>
      <c r="F116" s="2107" t="str">
        <f>FHD_P_76</f>
        <v/>
      </c>
      <c r="G116" s="2103" t="s">
        <v>560</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160" customFormat="1" customHeight="1" ht="18.75" hidden="1">
      <c r="A117" s="2600"/>
      <c r="B117" s="1137"/>
      <c r="C117" s="962"/>
      <c r="D117" s="960"/>
      <c r="E117" s="773" t="str">
        <f>FHD_NUM_P_77</f>
        <v/>
      </c>
      <c r="F117" s="2107" t="str">
        <f>FHD_P_77</f>
        <v/>
      </c>
      <c r="G117" s="2103" t="s">
        <v>560</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39" customFormat="1" customHeight="1" ht="0.75" hidden="1">
      <c r="A118" s="2600"/>
      <c r="D118" s="775"/>
      <c r="E118" s="1240" t="str">
        <f>E117&amp;".0"</f>
        <v>.0</v>
      </c>
      <c r="F118" s="1224"/>
      <c r="G118" s="1878"/>
      <c r="H118" s="1219"/>
      <c r="I118" s="1219"/>
      <c r="J118" s="1223"/>
      <c r="AF118" s="1863">
        <v>0</v>
      </c>
    </row>
    <row s="11160" customFormat="1" customHeight="1" ht="15" hidden="1">
      <c r="A119" s="2600"/>
      <c r="B119" s="1137"/>
      <c r="C119" s="962"/>
      <c r="D119" s="973"/>
      <c r="E119" s="1200"/>
      <c r="F119" s="1201" t="s">
        <v>597</v>
      </c>
      <c r="G119" s="974"/>
      <c r="H119" s="975"/>
      <c r="I119" s="975"/>
      <c r="J119" s="1230" t="s">
        <v>598</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599</v>
      </c>
      <c r="D120" s="1865"/>
      <c r="E120" s="773" t="str">
        <f>FHD_NUM_P_78</f>
        <v/>
      </c>
      <c r="F120" s="2107" t="str">
        <f>FHD_P_78</f>
        <v/>
      </c>
      <c r="G120" s="2104" t="s">
        <v>562</v>
      </c>
      <c r="H120" s="804"/>
      <c r="I120" s="804"/>
      <c r="J120" s="516" t="str">
        <f>FHD_NOTE_P_78</f>
        <v/>
      </c>
      <c r="K120" s="770"/>
      <c r="AF120" s="1858">
        <v>0</v>
      </c>
    </row>
    <row s="11239"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588</v>
      </c>
      <c r="G122" s="799"/>
      <c r="H122" s="800"/>
      <c r="I122" s="800"/>
      <c r="J122" s="1231" t="s">
        <v>600</v>
      </c>
      <c r="K122" s="770"/>
      <c r="AF122" s="1858">
        <v>0</v>
      </c>
    </row>
    <row customHeight="1" ht="22.5" hidden="1">
      <c r="A123" s="2598"/>
      <c r="D123" s="1865"/>
      <c r="E123" s="773" t="str">
        <f>FHD_NUM_P_79</f>
        <v/>
      </c>
      <c r="F123" s="2107" t="str">
        <f>FHD_P_79</f>
        <v/>
      </c>
      <c r="G123" s="2105" t="s">
        <v>564</v>
      </c>
      <c r="H123" s="804"/>
      <c r="I123" s="804"/>
      <c r="J123" s="516" t="str">
        <f>FHD_NOTE_P_79</f>
        <v/>
      </c>
      <c r="K123" s="770"/>
      <c r="AF123" s="1858">
        <v>0</v>
      </c>
    </row>
    <row s="11239"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588</v>
      </c>
      <c r="G125" s="799"/>
      <c r="H125" s="800"/>
      <c r="I125" s="800"/>
      <c r="J125" s="1231" t="s">
        <v>601</v>
      </c>
      <c r="K125" s="770"/>
      <c r="AF125" s="1858">
        <v>0</v>
      </c>
    </row>
    <row customHeight="1" ht="22.5" hidden="1">
      <c r="A126" s="2598"/>
      <c r="D126" s="1865"/>
      <c r="E126" s="773" t="str">
        <f>FHD_NUM_P_80</f>
        <v/>
      </c>
      <c r="F126" s="2107" t="str">
        <f>FHD_P_80</f>
        <v/>
      </c>
      <c r="G126" s="2105" t="s">
        <v>602</v>
      </c>
      <c r="H126" s="784"/>
      <c r="I126" s="784"/>
      <c r="J126" s="516" t="str">
        <f>FHD_NOTE_P_80</f>
        <v/>
      </c>
      <c r="K126" s="770"/>
      <c r="AF126" s="1858">
        <v>0</v>
      </c>
    </row>
    <row customHeight="1" ht="18.75" hidden="1">
      <c r="A127" s="2598"/>
      <c r="D127" s="1865"/>
      <c r="E127" s="773" t="str">
        <f>FHD_NUM_P_81</f>
        <v/>
      </c>
      <c r="F127" s="2107" t="str">
        <f>FHD_P_81</f>
        <v/>
      </c>
      <c r="G127" s="2105" t="s">
        <v>603</v>
      </c>
      <c r="H127" s="784"/>
      <c r="I127" s="784"/>
      <c r="J127" s="516" t="str">
        <f>FHD_NOTE_P_81</f>
        <v/>
      </c>
      <c r="K127" s="770"/>
      <c r="AF127" s="1858">
        <v>0</v>
      </c>
    </row>
    <row customHeight="1" ht="18.75" hidden="1">
      <c r="A128" s="2598"/>
      <c r="C128" s="1863" t="s">
        <v>590</v>
      </c>
      <c r="D128" s="1865"/>
      <c r="E128" s="773" t="str">
        <f>FHD_NUM_P_82</f>
        <v/>
      </c>
      <c r="F128" s="2107" t="str">
        <f>FHD_P_82</f>
        <v/>
      </c>
      <c r="G128" s="2105" t="s">
        <v>308</v>
      </c>
      <c r="H128" s="628"/>
      <c r="I128" s="628"/>
      <c r="J128" s="516" t="str">
        <f>FHD_NOTE_P_82</f>
        <v/>
      </c>
      <c r="K128" s="770"/>
      <c r="AF128" s="1858">
        <v>0</v>
      </c>
    </row>
    <row customHeight="1" ht="18.75" hidden="1">
      <c r="A129" s="2598"/>
      <c r="C129" s="1863" t="s">
        <v>590</v>
      </c>
      <c r="D129" s="1865"/>
      <c r="E129" s="773" t="str">
        <f>FHD_NUM_P_83</f>
        <v/>
      </c>
      <c r="F129" s="1751" t="str">
        <f>FHD_P_83</f>
        <v/>
      </c>
      <c r="G129" s="2105" t="s">
        <v>308</v>
      </c>
      <c r="H129" s="628"/>
      <c r="I129" s="628"/>
      <c r="J129" s="516" t="str">
        <f>FHD_NOTE_P_83</f>
        <v/>
      </c>
      <c r="K129" s="770"/>
      <c r="AF129" s="1858">
        <v>0</v>
      </c>
    </row>
    <row customHeight="1" ht="18.75" hidden="1">
      <c r="A130" s="2598"/>
      <c r="C130" s="1863" t="s">
        <v>590</v>
      </c>
      <c r="D130" s="1865"/>
      <c r="E130" s="773" t="str">
        <f>FHD_NUM_P_84</f>
        <v/>
      </c>
      <c r="F130" s="1751" t="str">
        <f>FHD_P_84</f>
        <v/>
      </c>
      <c r="G130" s="2105" t="s">
        <v>308</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80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0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0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08"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0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0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0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0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0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0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0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0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0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0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0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0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0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0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0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0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0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0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0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0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0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0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0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0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0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0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0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0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0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0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0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0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0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0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0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0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0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0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0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0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0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0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0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0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0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0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0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0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0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0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0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0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0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0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0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0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0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0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0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0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0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0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0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0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0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0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80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80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80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80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80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80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80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80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80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80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80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80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80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80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80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80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80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80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80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80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80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80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80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80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80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80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80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80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80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80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80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80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80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80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80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80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80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80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80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80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80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80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80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80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80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80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80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80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80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80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80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80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80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80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80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80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80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80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80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80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80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80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80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80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80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80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80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80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80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80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80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80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80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80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80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80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80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80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80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80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80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80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80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80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80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80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A8E8-3314-FD54-6588-26B1120603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890" width="14.7109375" hidden="1" customWidth="1"/>
    <col min="2" max="2" style="11124" width="17.00390625" hidden="1" customWidth="1"/>
    <col min="3" max="3" style="11160" width="3.00390625" customWidth="1"/>
    <col min="4" max="4" style="11160" width="1.8515625" hidden="1" customWidth="1"/>
    <col min="5" max="6" style="11160" width="7.00390625" customWidth="1"/>
    <col min="7" max="7" style="11160" width="29.00390625" customWidth="1"/>
    <col min="8" max="8" style="11160" width="3.7109375" customWidth="1"/>
    <col min="9" max="9" style="11160" width="5.00390625" customWidth="1"/>
    <col min="10" max="11" style="11160" width="24.00390625" customWidth="1"/>
    <col min="12" max="12" style="11160" width="3.00390625" customWidth="1"/>
    <col min="13" max="13" style="11160" width="6.00390625" customWidth="1"/>
    <col min="14" max="14" style="11160" width="25.00390625" customWidth="1"/>
    <col min="15" max="18" style="11160" width="18.00390625" customWidth="1"/>
    <col min="19" max="19" style="11160" width="93.00390625" customWidth="1"/>
    <col min="20" max="20" style="11160" width="10.00390625" customWidth="1"/>
    <col min="21" max="21" style="11239" width="10.00390625" customWidth="1"/>
    <col min="22" max="22" style="11239" width="11.00390625" customWidth="1"/>
    <col min="23" max="27" style="11124" width="10.00390625" customWidth="1"/>
    <col min="28" max="83" style="11160" width="8.00390625" customWidth="1"/>
    <col min="84" max="84" style="1116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160" customFormat="1" customHeight="1" ht="16.8">
      <c r="A6" s="837"/>
      <c r="B6" s="986"/>
      <c r="C6" s="736"/>
      <c r="D6" s="1285"/>
      <c r="E6" s="2403" t="str">
        <f>IF(org=0,"Не определено",org)</f>
        <v>ООО "Рыбинская генерация"</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80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302</v>
      </c>
      <c r="F9" s="2329"/>
      <c r="G9" s="2329"/>
      <c r="H9" s="2329"/>
      <c r="I9" s="2329"/>
      <c r="J9" s="2329"/>
      <c r="K9" s="2329"/>
      <c r="L9" s="2329"/>
      <c r="M9" s="2329"/>
      <c r="N9" s="2329"/>
      <c r="O9" s="2329"/>
      <c r="P9" s="2329"/>
      <c r="Q9" s="2329"/>
      <c r="R9" s="2330"/>
      <c r="S9" s="2354" t="s">
        <v>303</v>
      </c>
      <c r="T9" s="561"/>
      <c r="CF9" s="732">
        <v>19</v>
      </c>
    </row>
    <row customHeight="1" ht="48.29999999999999">
      <c r="D10" s="778" t="s">
        <v>87</v>
      </c>
      <c r="E10" s="2354" t="s">
        <v>87</v>
      </c>
      <c r="F10" s="2354"/>
      <c r="G10" s="748" t="s">
        <v>304</v>
      </c>
      <c r="H10" s="2354" t="s">
        <v>87</v>
      </c>
      <c r="I10" s="2354"/>
      <c r="J10" s="748" t="s">
        <v>604</v>
      </c>
      <c r="K10" s="748" t="s">
        <v>605</v>
      </c>
      <c r="L10" s="2354" t="s">
        <v>87</v>
      </c>
      <c r="M10" s="2354"/>
      <c r="N10" s="748" t="s">
        <v>606</v>
      </c>
      <c r="O10" s="748" t="s">
        <v>607</v>
      </c>
      <c r="P10" s="748" t="s">
        <v>608</v>
      </c>
      <c r="Q10" s="748" t="s">
        <v>609</v>
      </c>
      <c r="R10" s="748" t="s">
        <v>610</v>
      </c>
      <c r="S10" s="2354"/>
      <c r="T10" s="561"/>
      <c r="CF10" s="732">
        <v>46</v>
      </c>
    </row>
    <row s="11239" customFormat="1" customHeight="1" ht="15" hidden="1">
      <c r="A11" s="1279"/>
      <c r="D11" s="1252" t="s">
        <v>108</v>
      </c>
      <c r="E11" s="1252"/>
      <c r="F11" s="1252" t="s">
        <v>109</v>
      </c>
      <c r="G11" s="1252" t="s">
        <v>89</v>
      </c>
      <c r="H11" s="1252"/>
      <c r="I11" s="1252" t="s">
        <v>90</v>
      </c>
      <c r="J11" s="1252" t="s">
        <v>110</v>
      </c>
      <c r="K11" s="1252" t="s">
        <v>91</v>
      </c>
      <c r="L11" s="1252"/>
      <c r="M11" s="1252" t="s">
        <v>92</v>
      </c>
      <c r="N11" s="1252" t="s">
        <v>111</v>
      </c>
      <c r="O11" s="1252" t="s">
        <v>147</v>
      </c>
      <c r="P11" s="1252" t="s">
        <v>148</v>
      </c>
      <c r="Q11" s="1252" t="s">
        <v>149</v>
      </c>
      <c r="R11" s="1252" t="s">
        <v>150</v>
      </c>
      <c r="S11" s="1252" t="s">
        <v>151</v>
      </c>
      <c r="U11" s="838"/>
      <c r="V11" s="838"/>
      <c r="W11" s="838"/>
      <c r="CF11" s="738">
        <v>0</v>
      </c>
    </row>
    <row s="11160" customFormat="1" customHeight="1" ht="1.05">
      <c r="A12" s="842"/>
      <c r="B12" s="589"/>
      <c r="D12" s="775"/>
      <c r="E12" s="573"/>
      <c r="F12" s="573"/>
      <c r="Q12" s="843"/>
      <c r="R12" s="844"/>
      <c r="T12" s="845"/>
      <c r="U12" s="846"/>
      <c r="V12" s="846"/>
      <c r="W12" s="847"/>
      <c r="X12" s="589"/>
      <c r="Y12" s="589"/>
      <c r="Z12" s="589"/>
      <c r="AA12" s="589"/>
      <c r="CF12" s="736">
        <v>1</v>
      </c>
    </row>
    <row s="11808" customFormat="1" customHeight="1" ht="1.05">
      <c r="A13" s="848"/>
      <c r="B13" s="793"/>
      <c r="D13" s="775" t="s">
        <v>378</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299"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611</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299" customFormat="1" customHeight="1" ht="15" hidden="1">
      <c r="A15" s="850"/>
      <c r="B15" s="851"/>
      <c r="C15" s="851"/>
      <c r="D15" s="2608"/>
      <c r="E15" s="2604" t="s">
        <v>566</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299" customFormat="1" customHeight="1" ht="15" hidden="1">
      <c r="A16" s="850"/>
      <c r="B16" s="851"/>
      <c r="C16" s="851"/>
      <c r="D16" s="2608"/>
      <c r="E16" s="2604" t="s">
        <v>567</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299" customFormat="1" customHeight="1" ht="22.5" hidden="1">
      <c r="A17" s="860"/>
      <c r="B17" s="644"/>
      <c r="C17" s="639"/>
      <c r="D17" s="2608"/>
      <c r="E17" s="2603" t="s">
        <v>612</v>
      </c>
      <c r="F17" s="2603"/>
      <c r="G17" s="2603"/>
      <c r="H17" s="2603"/>
      <c r="I17" s="2603"/>
      <c r="J17" s="2603"/>
      <c r="K17" s="2603"/>
      <c r="L17" s="2603"/>
      <c r="M17" s="2603"/>
      <c r="N17" s="2603"/>
      <c r="O17" s="2603"/>
      <c r="P17" s="2603"/>
      <c r="Q17" s="785">
        <f>SUMIF(T18:T19,"i",Q18:Q19)</f>
        <v>0</v>
      </c>
      <c r="R17" s="1244"/>
      <c r="S17" s="1124" t="s">
        <v>613</v>
      </c>
      <c r="T17" s="944" t="s">
        <v>614</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299"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299"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299" customFormat="1" customHeight="1" ht="22.5" hidden="1">
      <c r="A20" s="860"/>
      <c r="B20" s="644"/>
      <c r="C20" s="639"/>
      <c r="D20" s="2608"/>
      <c r="E20" s="2603" t="s">
        <v>615</v>
      </c>
      <c r="F20" s="2603"/>
      <c r="G20" s="2603"/>
      <c r="H20" s="2603"/>
      <c r="I20" s="2603"/>
      <c r="J20" s="2603"/>
      <c r="K20" s="2603"/>
      <c r="L20" s="2603"/>
      <c r="M20" s="2603"/>
      <c r="N20" s="2603"/>
      <c r="O20" s="2603"/>
      <c r="P20" s="2603"/>
      <c r="Q20" s="785">
        <f>SUMIF(T21:T22,"i",Q21:Q22)</f>
        <v>0</v>
      </c>
      <c r="R20" s="1244"/>
      <c r="S20" s="936" t="s">
        <v>616</v>
      </c>
      <c r="T20" s="944" t="s">
        <v>614</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299"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299"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C3E88-24C8-8144-BAF8-D407561AA34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822" width="10.7109375" hidden="1" customWidth="1"/>
    <col min="6" max="6" style="11238" width="16.8515625" hidden="1" customWidth="1"/>
    <col min="7" max="7" style="11239" width="5.57421875" hidden="1" customWidth="1"/>
    <col min="8" max="8" style="11160" width="3.00390625" customWidth="1"/>
    <col min="9" max="9" style="11160" width="7.00390625" customWidth="1"/>
    <col min="10" max="10" style="11160" width="56.00390625" customWidth="1"/>
    <col min="11" max="11" style="11160" width="10.00390625" customWidth="1"/>
    <col min="12" max="12" style="11160" width="40.57421875" hidden="1" customWidth="1"/>
    <col min="13" max="13" style="11160" width="40.7109375" customWidth="1"/>
    <col min="14" max="14" style="11238" width="9.7109375" hidden="1" customWidth="1"/>
    <col min="15" max="15" style="11160" width="102.00390625" customWidth="1"/>
    <col min="16" max="16" style="11238" width="9.00390625" customWidth="1"/>
    <col min="17" max="17" style="11239" width="5.00390625" customWidth="1"/>
    <col min="18" max="18" style="11239" width="3.00390625" customWidth="1"/>
    <col min="19" max="22" style="11238" width="3.00390625" customWidth="1"/>
    <col min="23" max="23" style="11239" width="10.00390625" customWidth="1"/>
    <col min="24" max="24" style="11238" width="34.00390625" customWidth="1"/>
    <col min="25" max="25" style="11238" width="9.00390625" customWidth="1"/>
    <col min="26" max="26" style="12823" width="8.00390625" customWidth="1"/>
    <col min="27" max="31" style="11238" width="8.00390625" customWidth="1"/>
    <col min="32" max="36" style="11124" width="8.00390625" customWidth="1"/>
    <col min="37" max="37" style="11160" width="5.421875" hidden="1" customWidth="1"/>
  </cols>
  <sheetData>
    <row s="11238" customFormat="1" customHeight="1" ht="33.75" hidden="1">
      <c r="A1" s="1214"/>
      <c r="B1" s="1214"/>
      <c r="C1" s="1214"/>
      <c r="D1" s="1214"/>
      <c r="E1" s="1214"/>
      <c r="G1" s="1863"/>
      <c r="H1" s="1105"/>
      <c r="L1" s="1593">
        <v>4</v>
      </c>
      <c r="M1" s="1593">
        <v>4</v>
      </c>
      <c r="Q1" s="1863"/>
      <c r="R1" s="1863"/>
      <c r="W1" s="1863"/>
      <c r="AK1" s="1593" t="s">
        <v>14</v>
      </c>
    </row>
    <row s="11238" customFormat="1" customHeight="1" ht="78.75" hidden="1">
      <c r="A2" s="1214"/>
      <c r="B2" s="2280" t="s">
        <v>617</v>
      </c>
      <c r="C2" s="2280" t="s">
        <v>618</v>
      </c>
      <c r="D2" s="2279" t="s">
        <v>619</v>
      </c>
      <c r="E2" s="2283">
        <f>RIGHT(I2,LEN(I2)-SEARCH("#",SUBSTITUTE(I2,".","#",LEN(I2)-LEN(SUBSTITUTE(I2,".","")))))</f>
      </c>
      <c r="F2" s="2285">
        <f>J2</f>
        <v>0</v>
      </c>
      <c r="G2" s="1863"/>
      <c r="H2" s="2286"/>
      <c r="I2" s="2276"/>
      <c r="J2" s="767"/>
      <c r="K2" s="2246" t="s">
        <v>558</v>
      </c>
      <c r="L2" s="978"/>
      <c r="M2" s="978"/>
      <c r="N2" s="770"/>
      <c r="O2" s="1752" t="s">
        <v>559</v>
      </c>
      <c r="P2" s="770"/>
      <c r="Q2" s="1863"/>
      <c r="R2" s="1863"/>
      <c r="W2" s="1863"/>
      <c r="Z2" s="771"/>
      <c r="AF2" s="1859"/>
      <c r="AG2" s="1859"/>
      <c r="AH2" s="1859"/>
      <c r="AI2" s="1859"/>
      <c r="AJ2" s="1859"/>
      <c r="AK2" s="1593">
        <v>0</v>
      </c>
    </row>
    <row customHeight="1" ht="11.25" hidden="1">
      <c r="E3" s="2278" t="s">
        <v>620</v>
      </c>
      <c r="L3" s="1858">
        <f>0</f>
        <v>0</v>
      </c>
      <c r="M3" s="1858">
        <v>1</v>
      </c>
      <c r="AK3" s="1858">
        <v>0</v>
      </c>
    </row>
    <row s="11124"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621</v>
      </c>
      <c r="J6" s="2534"/>
      <c r="K6" s="2534"/>
      <c r="L6" s="2534"/>
      <c r="M6" s="2534"/>
      <c r="O6" s="783"/>
      <c r="AK6" s="1858">
        <v>55</v>
      </c>
    </row>
    <row customHeight="1" ht="25.2">
      <c r="I7" s="2476" t="str">
        <f>IF(org=0,"Не определено",org)</f>
        <v>ООО "Рыбинская генерация"</v>
      </c>
      <c r="J7" s="2476"/>
      <c r="K7" s="2476"/>
      <c r="L7" s="2476"/>
      <c r="M7" s="2476"/>
      <c r="AK7" s="1858">
        <v>24</v>
      </c>
    </row>
    <row customHeight="1" ht="11.549999999999999">
      <c r="I8" s="1362"/>
      <c r="J8" s="1362"/>
      <c r="K8" s="1362"/>
      <c r="L8" s="1362"/>
      <c r="M8" s="1362"/>
      <c r="AK8" s="1858">
        <v>11</v>
      </c>
    </row>
    <row s="11239" customFormat="1" customHeight="1" ht="30" hidden="1">
      <c r="A9" s="1394"/>
      <c r="B9" s="1394"/>
      <c r="C9" s="1394"/>
      <c r="E9" s="1394"/>
      <c r="H9" s="1869"/>
      <c r="L9" s="1116"/>
      <c r="M9" s="1116" t="s">
        <v>116</v>
      </c>
      <c r="AK9" s="1863">
        <v>1</v>
      </c>
    </row>
    <row customHeight="1" ht="11.549999999999999">
      <c r="E10" s="2277" t="s">
        <v>622</v>
      </c>
      <c r="I10" s="938"/>
      <c r="J10" s="2594" t="s">
        <v>104</v>
      </c>
      <c r="K10" s="2595"/>
      <c r="L10" s="2256" t="str">
        <f>IF(L9="","",INDEX(DIFFERENTIATION_UNMERGE_VD,MATCH(L9,DIFFERENTIATION_ID_DIFF,0)))</f>
        <v/>
      </c>
      <c r="M10" s="2256">
        <f>IF(M9="","",INDEX(DIFFERENTIATION_UNMERGE_VD,MATCH(M9,DIFFERENTIATION_ID_DIFF,0)))</f>
        <v>0</v>
      </c>
      <c r="O10" s="2354" t="s">
        <v>303</v>
      </c>
      <c r="AK10" s="1858">
        <v>11</v>
      </c>
    </row>
    <row customHeight="1" ht="11.549999999999999">
      <c r="E11" s="2277" t="s">
        <v>623</v>
      </c>
      <c r="I11" s="938"/>
      <c r="J11" s="2594" t="s">
        <v>566</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624</v>
      </c>
      <c r="I12" s="1889"/>
      <c r="J12" s="2594" t="s">
        <v>567</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625</v>
      </c>
      <c r="F13" s="2277" t="s">
        <v>626</v>
      </c>
      <c r="I13" s="2596" t="s">
        <v>302</v>
      </c>
      <c r="J13" s="2597"/>
      <c r="K13" s="2597"/>
      <c r="L13" s="2254"/>
      <c r="M13" s="2294"/>
      <c r="O13" s="2354"/>
      <c r="AK13" s="1858">
        <v>11</v>
      </c>
    </row>
    <row customHeight="1" ht="24">
      <c r="I14" s="2247" t="s">
        <v>87</v>
      </c>
      <c r="J14" s="2247" t="s">
        <v>304</v>
      </c>
      <c r="K14" s="2247" t="s">
        <v>568</v>
      </c>
      <c r="L14" s="2287" t="s">
        <v>305</v>
      </c>
      <c r="M14" s="2288" t="s">
        <v>305</v>
      </c>
      <c r="O14" s="2354"/>
      <c r="AK14" s="1858">
        <v>23</v>
      </c>
    </row>
    <row customHeight="1" ht="24">
      <c r="A15" s="2281"/>
      <c r="B15" s="2280" t="s">
        <v>627</v>
      </c>
      <c r="C15" s="2280" t="s">
        <v>628</v>
      </c>
      <c r="D15" s="2279" t="s">
        <v>629</v>
      </c>
      <c r="E15" s="2283" t="s">
        <v>630</v>
      </c>
      <c r="F15" s="2283" t="s">
        <v>630</v>
      </c>
      <c r="G15" s="1863" t="s">
        <v>590</v>
      </c>
      <c r="H15" s="2248"/>
      <c r="I15" s="1857">
        <v>1</v>
      </c>
      <c r="J15" s="2249" t="s">
        <v>631</v>
      </c>
      <c r="K15" s="2247" t="s">
        <v>308</v>
      </c>
      <c r="L15" s="889"/>
      <c r="M15" s="1045"/>
      <c r="N15" s="770" t="s">
        <v>632</v>
      </c>
      <c r="O15" s="1752" t="s">
        <v>633</v>
      </c>
      <c r="P15" s="770" t="s">
        <v>632</v>
      </c>
      <c r="AK15" s="1858">
        <v>23</v>
      </c>
    </row>
    <row customHeight="1" ht="35.699999999999996">
      <c r="A16" s="2281"/>
      <c r="B16" s="2280" t="s">
        <v>634</v>
      </c>
      <c r="C16" s="2280" t="s">
        <v>635</v>
      </c>
      <c r="D16" s="2279" t="s">
        <v>619</v>
      </c>
      <c r="E16" s="2283" t="s">
        <v>630</v>
      </c>
      <c r="F16" s="2283" t="s">
        <v>630</v>
      </c>
      <c r="H16" s="2248"/>
      <c r="I16" s="1856">
        <v>2</v>
      </c>
      <c r="J16" s="2290" t="s">
        <v>636</v>
      </c>
      <c r="K16" s="2289" t="s">
        <v>558</v>
      </c>
      <c r="L16" s="2295"/>
      <c r="M16" s="1903"/>
      <c r="N16" s="770" t="s">
        <v>632</v>
      </c>
      <c r="O16" s="1752" t="s">
        <v>637</v>
      </c>
      <c r="P16" s="770" t="s">
        <v>632</v>
      </c>
      <c r="AK16" s="1858">
        <v>34</v>
      </c>
    </row>
    <row s="11239" customFormat="1" customHeight="1" ht="17.25" hidden="1">
      <c r="A17" s="1394"/>
      <c r="B17" s="1394"/>
      <c r="C17" s="1394"/>
      <c r="D17" s="1394"/>
      <c r="E17" s="1394"/>
      <c r="H17" s="1551"/>
      <c r="I17" s="1240" t="s">
        <v>638</v>
      </c>
      <c r="J17" s="1218"/>
      <c r="K17" s="1240"/>
      <c r="L17" s="1219"/>
      <c r="M17" s="1219"/>
      <c r="O17" s="1612"/>
      <c r="AK17" s="1863">
        <v>1</v>
      </c>
    </row>
    <row s="11238" customFormat="1" customHeight="1" ht="24">
      <c r="A18" s="1214"/>
      <c r="B18" s="1214"/>
      <c r="C18" s="1214"/>
      <c r="D18" s="1214"/>
      <c r="E18" s="1214"/>
      <c r="G18" s="1863"/>
      <c r="H18" s="1860"/>
      <c r="I18" s="797"/>
      <c r="J18" s="798" t="s">
        <v>588</v>
      </c>
      <c r="K18" s="799"/>
      <c r="L18" s="2297"/>
      <c r="M18" s="800"/>
      <c r="N18" s="770"/>
      <c r="O18" s="1752" t="s">
        <v>589</v>
      </c>
      <c r="P18" s="770"/>
      <c r="Q18" s="1863"/>
      <c r="R18" s="1863"/>
      <c r="W18" s="1863"/>
      <c r="Z18" s="771"/>
      <c r="AF18" s="1859"/>
      <c r="AG18" s="1859"/>
      <c r="AH18" s="1859"/>
      <c r="AI18" s="1859"/>
      <c r="AJ18" s="1859"/>
      <c r="AK18" s="1593">
        <v>23</v>
      </c>
    </row>
    <row customHeight="1" ht="19.95">
      <c r="A19" s="2281"/>
      <c r="B19" s="2280" t="s">
        <v>639</v>
      </c>
      <c r="C19" s="2280" t="s">
        <v>640</v>
      </c>
      <c r="D19" s="2279" t="s">
        <v>619</v>
      </c>
      <c r="E19" s="2283" t="s">
        <v>630</v>
      </c>
      <c r="F19" s="2283" t="s">
        <v>630</v>
      </c>
      <c r="H19" s="2248"/>
      <c r="I19" s="1891">
        <v>3</v>
      </c>
      <c r="J19" s="2249" t="s">
        <v>640</v>
      </c>
      <c r="K19" s="2245" t="s">
        <v>558</v>
      </c>
      <c r="L19" s="954"/>
      <c r="M19" s="784"/>
      <c r="N19" s="770"/>
      <c r="O19" s="1752" t="s">
        <v>641</v>
      </c>
      <c r="P19" s="770"/>
      <c r="AK19" s="1858">
        <v>19</v>
      </c>
    </row>
    <row customHeight="1" ht="77.7">
      <c r="A20" s="2281"/>
      <c r="B20" s="2280" t="s">
        <v>642</v>
      </c>
      <c r="C20" s="2280" t="s">
        <v>643</v>
      </c>
      <c r="D20" s="2279" t="s">
        <v>619</v>
      </c>
      <c r="E20" s="2283" t="s">
        <v>630</v>
      </c>
      <c r="F20" s="2283" t="s">
        <v>630</v>
      </c>
      <c r="H20" s="2248"/>
      <c r="I20" s="1891">
        <v>4</v>
      </c>
      <c r="J20" s="2249" t="s">
        <v>644</v>
      </c>
      <c r="K20" s="2245" t="s">
        <v>585</v>
      </c>
      <c r="L20" s="954"/>
      <c r="M20" s="784"/>
      <c r="N20" s="770"/>
      <c r="O20" s="1752"/>
      <c r="P20" s="770"/>
      <c r="AK20" s="1858">
        <v>74</v>
      </c>
    </row>
    <row customHeight="1" ht="35.699999999999996">
      <c r="A21" s="2281"/>
      <c r="B21" s="2280" t="s">
        <v>645</v>
      </c>
      <c r="C21" s="2280" t="s">
        <v>646</v>
      </c>
      <c r="D21" s="2279" t="s">
        <v>619</v>
      </c>
      <c r="E21" s="2283" t="s">
        <v>630</v>
      </c>
      <c r="F21" s="2283" t="s">
        <v>630</v>
      </c>
      <c r="H21" s="2248"/>
      <c r="I21" s="1891">
        <v>5</v>
      </c>
      <c r="J21" s="2249" t="s">
        <v>647</v>
      </c>
      <c r="K21" s="2245" t="s">
        <v>585</v>
      </c>
      <c r="L21" s="954"/>
      <c r="M21" s="784"/>
      <c r="N21" s="770"/>
      <c r="O21" s="1752" t="s">
        <v>641</v>
      </c>
      <c r="P21" s="770"/>
      <c r="AK21" s="1858">
        <v>34</v>
      </c>
    </row>
    <row customHeight="1" ht="48.29999999999999">
      <c r="A22" s="2281"/>
      <c r="B22" s="2280" t="s">
        <v>648</v>
      </c>
      <c r="C22" s="2280" t="s">
        <v>649</v>
      </c>
      <c r="D22" s="2279" t="s">
        <v>619</v>
      </c>
      <c r="E22" s="2283" t="s">
        <v>630</v>
      </c>
      <c r="F22" s="2283" t="s">
        <v>630</v>
      </c>
      <c r="H22" s="2248"/>
      <c r="I22" s="1891">
        <v>6</v>
      </c>
      <c r="J22" s="2249" t="s">
        <v>650</v>
      </c>
      <c r="K22" s="2245" t="s">
        <v>585</v>
      </c>
      <c r="L22" s="954"/>
      <c r="M22" s="784"/>
      <c r="N22" s="770"/>
      <c r="O22" s="1752" t="s">
        <v>651</v>
      </c>
      <c r="P22" s="770"/>
      <c r="AK22" s="1858">
        <v>46</v>
      </c>
    </row>
    <row customHeight="1" ht="19.95">
      <c r="A23" s="2281"/>
      <c r="B23" s="2280" t="s">
        <v>652</v>
      </c>
      <c r="C23" s="2280" t="s">
        <v>653</v>
      </c>
      <c r="D23" s="2279" t="s">
        <v>619</v>
      </c>
      <c r="E23" s="2283" t="s">
        <v>630</v>
      </c>
      <c r="F23" s="2283" t="s">
        <v>630</v>
      </c>
      <c r="H23" s="2248"/>
      <c r="I23" s="1891" t="s">
        <v>654</v>
      </c>
      <c r="J23" s="1751" t="s">
        <v>655</v>
      </c>
      <c r="K23" s="2245" t="s">
        <v>585</v>
      </c>
      <c r="L23" s="954"/>
      <c r="M23" s="784"/>
      <c r="N23" s="770"/>
      <c r="O23" s="1752" t="s">
        <v>641</v>
      </c>
      <c r="P23" s="770"/>
      <c r="AK23" s="1858">
        <v>19</v>
      </c>
    </row>
    <row customHeight="1" ht="19.95">
      <c r="A24" s="2281"/>
      <c r="B24" s="2280" t="s">
        <v>656</v>
      </c>
      <c r="C24" s="2280" t="s">
        <v>657</v>
      </c>
      <c r="D24" s="2279" t="s">
        <v>619</v>
      </c>
      <c r="E24" s="2283" t="s">
        <v>630</v>
      </c>
      <c r="F24" s="2283" t="s">
        <v>630</v>
      </c>
      <c r="H24" s="2248"/>
      <c r="I24" s="1891" t="s">
        <v>658</v>
      </c>
      <c r="J24" s="1751" t="s">
        <v>659</v>
      </c>
      <c r="K24" s="2245" t="s">
        <v>585</v>
      </c>
      <c r="L24" s="954"/>
      <c r="M24" s="784"/>
      <c r="N24" s="770"/>
      <c r="O24" s="1752"/>
      <c r="P24" s="770"/>
      <c r="AK24" s="1858">
        <v>19</v>
      </c>
    </row>
    <row customHeight="1" ht="24">
      <c r="A25" s="2281"/>
      <c r="B25" s="2280" t="s">
        <v>660</v>
      </c>
      <c r="C25" s="2280" t="s">
        <v>661</v>
      </c>
      <c r="D25" s="2279" t="s">
        <v>619</v>
      </c>
      <c r="E25" s="2283" t="s">
        <v>630</v>
      </c>
      <c r="F25" s="2283" t="s">
        <v>630</v>
      </c>
      <c r="H25" s="2248"/>
      <c r="I25" s="1891" t="s">
        <v>662</v>
      </c>
      <c r="J25" s="1751" t="s">
        <v>663</v>
      </c>
      <c r="K25" s="2245" t="s">
        <v>585</v>
      </c>
      <c r="L25" s="954"/>
      <c r="M25" s="784"/>
      <c r="N25" s="770"/>
      <c r="O25" s="1752"/>
      <c r="P25" s="770"/>
      <c r="AK25" s="1858">
        <v>23</v>
      </c>
    </row>
    <row customHeight="1" ht="24">
      <c r="A26" s="2281"/>
      <c r="B26" s="2280" t="s">
        <v>664</v>
      </c>
      <c r="C26" s="2280" t="s">
        <v>665</v>
      </c>
      <c r="D26" s="2279" t="s">
        <v>619</v>
      </c>
      <c r="E26" s="2283" t="s">
        <v>630</v>
      </c>
      <c r="F26" s="2283" t="s">
        <v>630</v>
      </c>
      <c r="H26" s="2248"/>
      <c r="I26" s="1891">
        <v>7</v>
      </c>
      <c r="J26" s="2249" t="s">
        <v>665</v>
      </c>
      <c r="K26" s="2245" t="s">
        <v>666</v>
      </c>
      <c r="L26" s="954"/>
      <c r="M26" s="784"/>
      <c r="N26" s="770"/>
      <c r="O26" s="1752"/>
      <c r="P26" s="770"/>
      <c r="AK26" s="1858">
        <v>23</v>
      </c>
    </row>
    <row customHeight="1" ht="24">
      <c r="A27" s="2281"/>
      <c r="B27" s="2280" t="s">
        <v>667</v>
      </c>
      <c r="C27" s="2280" t="s">
        <v>668</v>
      </c>
      <c r="D27" s="2279" t="s">
        <v>619</v>
      </c>
      <c r="E27" s="2283" t="s">
        <v>630</v>
      </c>
      <c r="F27" s="2283" t="s">
        <v>630</v>
      </c>
      <c r="H27" s="2248"/>
      <c r="I27" s="1891">
        <v>8</v>
      </c>
      <c r="J27" s="2249" t="s">
        <v>668</v>
      </c>
      <c r="K27" s="2245" t="s">
        <v>591</v>
      </c>
      <c r="L27" s="954"/>
      <c r="M27" s="784"/>
      <c r="N27" s="770"/>
      <c r="O27" s="1752"/>
      <c r="P27" s="770"/>
      <c r="AK27" s="1858">
        <v>23</v>
      </c>
    </row>
    <row customHeight="1" ht="35.699999999999996">
      <c r="A28" s="2281"/>
      <c r="B28" s="2280" t="s">
        <v>669</v>
      </c>
      <c r="C28" s="2280" t="s">
        <v>670</v>
      </c>
      <c r="D28" s="2279" t="s">
        <v>619</v>
      </c>
      <c r="E28" s="2283" t="s">
        <v>630</v>
      </c>
      <c r="F28" s="2283" t="s">
        <v>630</v>
      </c>
      <c r="H28" s="2248"/>
      <c r="I28" s="1902">
        <v>9</v>
      </c>
      <c r="J28" s="2249" t="s">
        <v>671</v>
      </c>
      <c r="K28" s="2245" t="s">
        <v>562</v>
      </c>
      <c r="L28" s="954"/>
      <c r="M28" s="784"/>
      <c r="N28" s="770"/>
      <c r="O28" s="1752"/>
      <c r="P28" s="770"/>
      <c r="AK28" s="1858">
        <v>34</v>
      </c>
    </row>
    <row customHeight="1" ht="35.699999999999996">
      <c r="A29" s="2281"/>
      <c r="B29" s="2280" t="s">
        <v>672</v>
      </c>
      <c r="C29" s="2280" t="s">
        <v>673</v>
      </c>
      <c r="D29" s="2279" t="s">
        <v>619</v>
      </c>
      <c r="E29" s="2283" t="s">
        <v>630</v>
      </c>
      <c r="F29" s="2283" t="s">
        <v>630</v>
      </c>
      <c r="H29" s="2248"/>
      <c r="I29" s="1902">
        <v>10</v>
      </c>
      <c r="J29" s="2249" t="s">
        <v>674</v>
      </c>
      <c r="K29" s="2245" t="s">
        <v>562</v>
      </c>
      <c r="L29" s="954"/>
      <c r="M29" s="784"/>
      <c r="N29" s="770"/>
      <c r="O29" s="1752"/>
      <c r="P29" s="770"/>
      <c r="AK29" s="1858">
        <v>34</v>
      </c>
    </row>
    <row customHeight="1" ht="24">
      <c r="A30" s="2281"/>
      <c r="B30" s="2280" t="s">
        <v>675</v>
      </c>
      <c r="C30" s="2280" t="s">
        <v>676</v>
      </c>
      <c r="D30" s="2279" t="s">
        <v>619</v>
      </c>
      <c r="E30" s="2283" t="s">
        <v>630</v>
      </c>
      <c r="F30" s="2283" t="s">
        <v>630</v>
      </c>
      <c r="H30" s="2248"/>
      <c r="I30" s="1902">
        <v>11</v>
      </c>
      <c r="J30" s="2249" t="s">
        <v>676</v>
      </c>
      <c r="K30" s="2245" t="s">
        <v>592</v>
      </c>
      <c r="L30" s="2296"/>
      <c r="M30" s="1848"/>
      <c r="N30" s="770"/>
      <c r="O30" s="1752"/>
      <c r="P30" s="770"/>
      <c r="AK30" s="1858">
        <v>23</v>
      </c>
    </row>
    <row customHeight="1" ht="24">
      <c r="A31" s="2281"/>
      <c r="B31" s="2280" t="s">
        <v>677</v>
      </c>
      <c r="C31" s="2280" t="s">
        <v>678</v>
      </c>
      <c r="D31" s="2279" t="s">
        <v>619</v>
      </c>
      <c r="E31" s="2283" t="s">
        <v>630</v>
      </c>
      <c r="F31" s="2283" t="s">
        <v>630</v>
      </c>
      <c r="H31" s="2248"/>
      <c r="I31" s="1902">
        <v>12</v>
      </c>
      <c r="J31" s="2249" t="s">
        <v>678</v>
      </c>
      <c r="K31" s="2245" t="s">
        <v>592</v>
      </c>
      <c r="L31" s="2296"/>
      <c r="M31" s="1848"/>
      <c r="N31" s="770"/>
      <c r="O31" s="1752"/>
      <c r="P31" s="770"/>
      <c r="AK31" s="1858">
        <v>23</v>
      </c>
    </row>
    <row customHeight="1" ht="48.29999999999999">
      <c r="A32" s="2281"/>
      <c r="B32" s="2280" t="s">
        <v>679</v>
      </c>
      <c r="C32" s="2280" t="s">
        <v>680</v>
      </c>
      <c r="D32" s="2279" t="s">
        <v>619</v>
      </c>
      <c r="E32" s="2283" t="s">
        <v>630</v>
      </c>
      <c r="F32" s="2283" t="s">
        <v>630</v>
      </c>
      <c r="H32" s="2248"/>
      <c r="I32" s="1902">
        <v>13</v>
      </c>
      <c r="J32" s="2249" t="s">
        <v>681</v>
      </c>
      <c r="K32" s="2245" t="s">
        <v>602</v>
      </c>
      <c r="L32" s="954"/>
      <c r="M32" s="784"/>
      <c r="N32" s="770"/>
      <c r="O32" s="1752" t="s">
        <v>641</v>
      </c>
      <c r="P32" s="770"/>
      <c r="AK32" s="1858">
        <v>46</v>
      </c>
    </row>
    <row s="11238" customFormat="1" customHeight="1" ht="48.29999999999999">
      <c r="A33" s="2281"/>
      <c r="B33" s="2280" t="s">
        <v>682</v>
      </c>
      <c r="C33" s="2280" t="s">
        <v>683</v>
      </c>
      <c r="D33" s="2279" t="s">
        <v>619</v>
      </c>
      <c r="E33" s="2283" t="s">
        <v>630</v>
      </c>
      <c r="F33" s="2283" t="s">
        <v>630</v>
      </c>
      <c r="G33" s="1863"/>
      <c r="H33" s="2248"/>
      <c r="I33" s="1902">
        <v>14</v>
      </c>
      <c r="J33" s="2261" t="s">
        <v>684</v>
      </c>
      <c r="K33" s="2250" t="s">
        <v>685</v>
      </c>
      <c r="L33" s="954"/>
      <c r="M33" s="784"/>
      <c r="N33" s="770"/>
      <c r="O33" s="1752" t="s">
        <v>641</v>
      </c>
      <c r="P33" s="770"/>
      <c r="Q33" s="1863"/>
      <c r="R33" s="1863"/>
      <c r="W33" s="1863"/>
      <c r="Z33" s="771"/>
      <c r="AF33" s="1859"/>
      <c r="AG33" s="1859"/>
      <c r="AH33" s="1859"/>
      <c r="AI33" s="1859"/>
      <c r="AJ33" s="1859"/>
      <c r="AK33" s="1593">
        <v>46</v>
      </c>
    </row>
    <row customHeight="1" ht="108">
      <c r="A34" s="2281"/>
      <c r="B34" s="2280" t="s">
        <v>686</v>
      </c>
      <c r="C34" s="2280" t="s">
        <v>687</v>
      </c>
      <c r="D34" s="2279" t="s">
        <v>629</v>
      </c>
      <c r="E34" s="2283" t="s">
        <v>630</v>
      </c>
      <c r="F34" s="2283" t="s">
        <v>630</v>
      </c>
      <c r="G34" s="1863" t="s">
        <v>590</v>
      </c>
      <c r="H34" s="2248"/>
      <c r="I34" s="2259">
        <v>15</v>
      </c>
      <c r="J34" s="2260" t="s">
        <v>688</v>
      </c>
      <c r="K34" s="2245" t="s">
        <v>308</v>
      </c>
      <c r="L34" s="612"/>
      <c r="M34" s="1391"/>
      <c r="N34" s="770"/>
      <c r="O34" s="1752" t="s">
        <v>633</v>
      </c>
      <c r="P34" s="770"/>
      <c r="AK34" s="1858">
        <v>103</v>
      </c>
    </row>
    <row s="1180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80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80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80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80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80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80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80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80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80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80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80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80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80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80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80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80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80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80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80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80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80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80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80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80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80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80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80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80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80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80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80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80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80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80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80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80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80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80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80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80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80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80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80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80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80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80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80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80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80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80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80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80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80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80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80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80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80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80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80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80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80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80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80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80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80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80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80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80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80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80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80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80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80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80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80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80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80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80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80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80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80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80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80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80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80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80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80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80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80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80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80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80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80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80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80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80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80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80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80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80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80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80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80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80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80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80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80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80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80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80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80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80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80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80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80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80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80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80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80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80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80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80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80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80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80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80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80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80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80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80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80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80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80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80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80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80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80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80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80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80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80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80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80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80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80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80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80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80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80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80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80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80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80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80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79135-2308-F44A-4AF8-51537AC246B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60" width="10.57421875" hidden="1"/>
    <col min="5" max="5" style="12054" width="9.140625" hidden="1" customWidth="1"/>
    <col min="6" max="7" style="11238" width="9.140625" hidden="1" customWidth="1"/>
    <col min="8" max="8" style="12055" width="3.00390625" customWidth="1"/>
    <col min="9" max="9" style="11160" width="6.00390625" customWidth="1"/>
    <col min="10" max="10" style="11160" width="63.00390625" customWidth="1"/>
    <col min="11" max="11" style="11160" width="9.00390625" customWidth="1"/>
    <col min="12" max="12" style="11160" width="39.00390625" customWidth="1"/>
    <col min="13" max="13" style="11160" width="89.00390625" customWidth="1"/>
    <col min="14" max="14" style="11160" width="10.00390625" customWidth="1"/>
    <col min="15" max="16" style="11328" width="10.00390625" customWidth="1"/>
    <col min="17" max="22" style="11160" width="10.00390625" customWidth="1"/>
    <col min="23" max="23" style="11160" width="10.57421875" hidden="1"/>
  </cols>
  <sheetData>
    <row customHeight="1" ht="22.5" hidden="1">
      <c r="S1" s="482"/>
      <c r="T1" s="482"/>
      <c r="V1" s="482"/>
      <c r="W1" s="1858" t="s">
        <v>14</v>
      </c>
    </row>
    <row customHeight="1" ht="22.5" hidden="1">
      <c r="B2" s="2280" t="s">
        <v>689</v>
      </c>
      <c r="C2" s="2280" t="s">
        <v>690</v>
      </c>
      <c r="D2" s="2279" t="s">
        <v>629</v>
      </c>
      <c r="E2" s="2285">
        <f>I2-3</f>
        <v>-3</v>
      </c>
      <c r="F2" s="2285">
        <f>J2</f>
        <v>0</v>
      </c>
      <c r="H2" s="1957" t="s">
        <v>531</v>
      </c>
      <c r="I2" s="2251"/>
      <c r="J2" s="1909"/>
      <c r="K2" s="2245" t="s">
        <v>308</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691</v>
      </c>
      <c r="J5" s="2475"/>
      <c r="K5" s="2475"/>
      <c r="L5" s="2475"/>
      <c r="M5" s="493"/>
      <c r="W5" s="1858">
        <v>48</v>
      </c>
    </row>
    <row customHeight="1" ht="18">
      <c r="H6" s="603"/>
      <c r="I6" s="2476" t="str">
        <f>IF(org=0,"Не определено",org)</f>
        <v>ООО "Рыбинская генерация"</v>
      </c>
      <c r="J6" s="2476"/>
      <c r="K6" s="2476"/>
      <c r="L6" s="2476"/>
      <c r="M6" s="493"/>
      <c r="W6" s="1858">
        <v>17</v>
      </c>
    </row>
    <row customHeight="1" ht="14.699999999999998">
      <c r="H7" s="603"/>
      <c r="I7" s="684"/>
      <c r="J7" s="690"/>
      <c r="K7" s="690"/>
      <c r="L7" s="979"/>
      <c r="M7" s="420"/>
      <c r="W7" s="1858">
        <v>14</v>
      </c>
    </row>
    <row customHeight="1" ht="14.699999999999998">
      <c r="H8" s="603"/>
      <c r="I8" s="2613" t="s">
        <v>302</v>
      </c>
      <c r="J8" s="2614"/>
      <c r="K8" s="2614"/>
      <c r="L8" s="2615"/>
      <c r="M8" s="2616" t="s">
        <v>303</v>
      </c>
      <c r="W8" s="1858">
        <v>14</v>
      </c>
    </row>
    <row customHeight="1" ht="35.699999999999996">
      <c r="E9" s="2278" t="s">
        <v>620</v>
      </c>
      <c r="F9" s="2278" t="s">
        <v>626</v>
      </c>
      <c r="H9" s="603"/>
      <c r="I9" s="2252" t="s">
        <v>87</v>
      </c>
      <c r="J9" s="2253" t="s">
        <v>304</v>
      </c>
      <c r="K9" s="2291" t="s">
        <v>568</v>
      </c>
      <c r="L9" s="2292" t="s">
        <v>305</v>
      </c>
      <c r="M9" s="2616"/>
      <c r="W9" s="1858">
        <v>34</v>
      </c>
    </row>
    <row customHeight="1" ht="35.699999999999996">
      <c r="B10" s="2280" t="s">
        <v>692</v>
      </c>
      <c r="C10" s="2280" t="s">
        <v>693</v>
      </c>
      <c r="D10" s="2279" t="s">
        <v>629</v>
      </c>
      <c r="E10" s="2283" t="s">
        <v>630</v>
      </c>
      <c r="F10" s="2283" t="s">
        <v>630</v>
      </c>
      <c r="H10" s="603"/>
      <c r="I10" s="2251" t="s">
        <v>108</v>
      </c>
      <c r="J10" s="2113" t="s">
        <v>694</v>
      </c>
      <c r="K10" s="2245" t="s">
        <v>308</v>
      </c>
      <c r="L10" s="1045"/>
      <c r="M10" s="524" t="s">
        <v>695</v>
      </c>
      <c r="W10" s="1858">
        <v>34</v>
      </c>
    </row>
    <row customHeight="1" ht="50.25">
      <c r="B11" s="2280" t="s">
        <v>696</v>
      </c>
      <c r="C11" s="2280" t="s">
        <v>697</v>
      </c>
      <c r="D11" s="2279" t="s">
        <v>629</v>
      </c>
      <c r="E11" s="2283" t="s">
        <v>630</v>
      </c>
      <c r="F11" s="2283" t="s">
        <v>630</v>
      </c>
      <c r="H11" s="603"/>
      <c r="I11" s="2251" t="s">
        <v>109</v>
      </c>
      <c r="J11" s="2113" t="s">
        <v>698</v>
      </c>
      <c r="K11" s="2245" t="s">
        <v>308</v>
      </c>
      <c r="L11" s="1045"/>
      <c r="M11" s="524" t="s">
        <v>695</v>
      </c>
      <c r="W11" s="1858">
        <v>48</v>
      </c>
    </row>
    <row customHeight="1" ht="48.29999999999999">
      <c r="B12" s="2280" t="s">
        <v>699</v>
      </c>
      <c r="C12" s="2280" t="s">
        <v>700</v>
      </c>
      <c r="D12" s="2279" t="s">
        <v>629</v>
      </c>
      <c r="E12" s="2283" t="s">
        <v>630</v>
      </c>
      <c r="F12" s="2283" t="s">
        <v>630</v>
      </c>
      <c r="H12" s="1915"/>
      <c r="I12" s="2251" t="s">
        <v>89</v>
      </c>
      <c r="J12" s="2258" t="s">
        <v>701</v>
      </c>
      <c r="K12" s="2245" t="s">
        <v>308</v>
      </c>
      <c r="L12" s="1045"/>
      <c r="M12" s="524" t="s">
        <v>702</v>
      </c>
      <c r="N12" s="1851"/>
      <c r="P12" s="1858"/>
      <c r="W12" s="1858">
        <v>46</v>
      </c>
    </row>
    <row customHeight="1" ht="14.699999999999998">
      <c r="E13" s="570"/>
      <c r="H13" s="603"/>
      <c r="I13" s="574"/>
      <c r="J13" s="878" t="s">
        <v>703</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46EE8-86F9-4DF8-8C38-DF205256A40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822" width="10.7109375" hidden="1" customWidth="1"/>
    <col min="2" max="2" style="11238" width="16.8515625" hidden="1" customWidth="1"/>
    <col min="3" max="3" style="11239" width="5.57421875" hidden="1" customWidth="1"/>
    <col min="4" max="4" style="11160" width="3.00390625" customWidth="1"/>
    <col min="5" max="5" style="11160" width="7.00390625" customWidth="1"/>
    <col min="6" max="6" style="11160" width="56.00390625" customWidth="1"/>
    <col min="7" max="7" style="11160" width="10.00390625" customWidth="1"/>
    <col min="8" max="8" style="11160" width="40.7109375" hidden="1" customWidth="1"/>
    <col min="9" max="9" style="11160" width="40.00390625" customWidth="1"/>
    <col min="10" max="10" style="11160" width="102.00390625" customWidth="1"/>
    <col min="11" max="11" style="11238" width="9.00390625" customWidth="1"/>
    <col min="12" max="12" style="11239" width="5.00390625" customWidth="1"/>
    <col min="13" max="13" style="11239" width="3.00390625" customWidth="1"/>
    <col min="14" max="17" style="11238" width="3.00390625" customWidth="1"/>
    <col min="18" max="18" style="11239" width="10.00390625" customWidth="1"/>
    <col min="19" max="19" style="11238" width="34.00390625" customWidth="1"/>
    <col min="20" max="20" style="11238" width="9.00390625" customWidth="1"/>
    <col min="21" max="21" style="12823" width="8.00390625" customWidth="1"/>
    <col min="22" max="26" style="11238" width="8.00390625" customWidth="1"/>
    <col min="27" max="31" style="11124" width="8.00390625" customWidth="1"/>
    <col min="32" max="32" style="11160" width="10.421875" hidden="1" customWidth="1"/>
  </cols>
  <sheetData>
    <row s="11238" customFormat="1" customHeight="1" ht="22.5" hidden="1">
      <c r="A1" s="1214"/>
      <c r="C1" s="1863"/>
      <c r="D1" s="764"/>
      <c r="H1" s="1387">
        <v>4</v>
      </c>
      <c r="I1" s="1387">
        <v>4</v>
      </c>
      <c r="L1" s="1863"/>
      <c r="M1" s="1863"/>
      <c r="R1" s="1863"/>
      <c r="AF1" s="1387" t="s">
        <v>14</v>
      </c>
    </row>
    <row s="11238" customFormat="1" customHeight="1" ht="22.5" hidden="1">
      <c r="A2" s="1214"/>
      <c r="C2" s="1863"/>
      <c r="D2" s="765"/>
      <c r="E2" s="1864"/>
      <c r="F2" s="767"/>
      <c r="G2" s="1866" t="s">
        <v>554</v>
      </c>
      <c r="H2" s="768"/>
      <c r="I2" s="768"/>
      <c r="J2" s="769" t="s">
        <v>704</v>
      </c>
      <c r="K2" s="770"/>
      <c r="L2" s="1863"/>
      <c r="M2" s="1863"/>
      <c r="R2" s="1863"/>
      <c r="U2" s="771"/>
      <c r="AA2" s="1859"/>
      <c r="AB2" s="1859"/>
      <c r="AC2" s="1859"/>
      <c r="AD2" s="1859"/>
      <c r="AE2" s="1859"/>
      <c r="AF2" s="1387">
        <v>0</v>
      </c>
    </row>
    <row customHeight="1" ht="11.25" hidden="1">
      <c r="AF3" s="1858">
        <v>0</v>
      </c>
    </row>
    <row s="1112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705</v>
      </c>
      <c r="F6" s="2534"/>
      <c r="G6" s="2534"/>
      <c r="H6" s="2534"/>
      <c r="I6" s="2534"/>
      <c r="J6" s="783"/>
      <c r="AF6" s="1858">
        <v>30</v>
      </c>
    </row>
    <row customHeight="1" ht="11.549999999999999">
      <c r="E7" s="2476" t="str">
        <f>IF(org=0,"Не определено",org)</f>
        <v>ООО "Рыбинская генерация"</v>
      </c>
      <c r="F7" s="2476"/>
      <c r="G7" s="2476"/>
      <c r="H7" s="2476"/>
      <c r="I7" s="2476"/>
      <c r="AF7" s="1858">
        <v>11</v>
      </c>
    </row>
    <row customHeight="1" ht="11.549999999999999">
      <c r="E8" s="1362"/>
      <c r="F8" s="1362"/>
      <c r="G8" s="1362"/>
      <c r="H8" s="1362"/>
      <c r="I8" s="1362"/>
      <c r="AF8" s="1858">
        <v>11</v>
      </c>
    </row>
    <row s="11239"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566</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567</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302</v>
      </c>
      <c r="F13" s="2597"/>
      <c r="G13" s="2597"/>
      <c r="H13" s="1778"/>
      <c r="I13" s="1778"/>
      <c r="J13" s="2354"/>
      <c r="AF13" s="1858">
        <v>11</v>
      </c>
    </row>
    <row customHeight="1" ht="24">
      <c r="E14" s="1866" t="s">
        <v>87</v>
      </c>
      <c r="F14" s="1861" t="s">
        <v>304</v>
      </c>
      <c r="G14" s="1861" t="s">
        <v>568</v>
      </c>
      <c r="H14" s="1861" t="s">
        <v>305</v>
      </c>
      <c r="I14" s="1861" t="s">
        <v>305</v>
      </c>
      <c r="J14" s="2354"/>
      <c r="AF14" s="1858">
        <v>23</v>
      </c>
    </row>
    <row customHeight="1" ht="19.95">
      <c r="D15" s="1865"/>
      <c r="E15" s="1857" t="s">
        <v>108</v>
      </c>
      <c r="F15" s="934" t="s">
        <v>706</v>
      </c>
      <c r="G15" s="1873" t="s">
        <v>554</v>
      </c>
      <c r="H15" s="784"/>
      <c r="I15" s="784"/>
      <c r="J15" s="516" t="s">
        <v>707</v>
      </c>
      <c r="K15" s="770" t="s">
        <v>632</v>
      </c>
      <c r="AF15" s="1858">
        <v>19</v>
      </c>
    </row>
    <row customHeight="1" ht="35.699999999999996">
      <c r="D16" s="1865"/>
      <c r="E16" s="1857" t="s">
        <v>109</v>
      </c>
      <c r="F16" s="934" t="s">
        <v>708</v>
      </c>
      <c r="G16" s="1873" t="s">
        <v>554</v>
      </c>
      <c r="H16" s="785">
        <f>SUM(H17,H20:H32)</f>
        <v>0</v>
      </c>
      <c r="I16" s="785">
        <f>SUM(I17,I20,I23,I26,I29:I32)</f>
        <v>0</v>
      </c>
      <c r="J16" s="516" t="s">
        <v>709</v>
      </c>
      <c r="K16" s="770" t="s">
        <v>632</v>
      </c>
      <c r="AF16" s="1858">
        <v>34</v>
      </c>
    </row>
    <row customHeight="1" ht="19.95">
      <c r="D17" s="1865"/>
      <c r="E17" s="1891" t="s">
        <v>710</v>
      </c>
      <c r="F17" s="1181" t="s">
        <v>711</v>
      </c>
      <c r="G17" s="1870" t="s">
        <v>554</v>
      </c>
      <c r="H17" s="784"/>
      <c r="I17" s="784"/>
      <c r="J17" s="516" t="s">
        <v>712</v>
      </c>
      <c r="K17" s="770"/>
      <c r="AF17" s="1858">
        <v>19</v>
      </c>
    </row>
    <row customHeight="1" ht="24">
      <c r="D18" s="1865"/>
      <c r="E18" s="1891" t="s">
        <v>713</v>
      </c>
      <c r="F18" s="1877" t="s">
        <v>714</v>
      </c>
      <c r="G18" s="1870" t="s">
        <v>554</v>
      </c>
      <c r="H18" s="784"/>
      <c r="I18" s="784"/>
      <c r="J18" s="516" t="s">
        <v>715</v>
      </c>
      <c r="K18" s="770"/>
      <c r="AF18" s="1858">
        <v>23</v>
      </c>
    </row>
    <row customHeight="1" ht="35.699999999999996">
      <c r="D19" s="1865"/>
      <c r="E19" s="1891" t="s">
        <v>716</v>
      </c>
      <c r="F19" s="1877" t="s">
        <v>717</v>
      </c>
      <c r="G19" s="1870" t="s">
        <v>554</v>
      </c>
      <c r="H19" s="784"/>
      <c r="I19" s="784"/>
      <c r="J19" s="516"/>
      <c r="K19" s="770"/>
      <c r="AF19" s="1858">
        <v>34</v>
      </c>
    </row>
    <row customHeight="1" ht="19.95">
      <c r="D20" s="1865"/>
      <c r="E20" s="1891" t="s">
        <v>309</v>
      </c>
      <c r="F20" s="1181" t="s">
        <v>718</v>
      </c>
      <c r="G20" s="1870" t="s">
        <v>554</v>
      </c>
      <c r="H20" s="784"/>
      <c r="I20" s="784"/>
      <c r="J20" s="516" t="s">
        <v>719</v>
      </c>
      <c r="K20" s="770"/>
      <c r="AF20" s="1858">
        <v>19</v>
      </c>
    </row>
    <row customHeight="1" ht="19.95">
      <c r="D21" s="1865"/>
      <c r="E21" s="1891" t="s">
        <v>720</v>
      </c>
      <c r="F21" s="1877" t="s">
        <v>721</v>
      </c>
      <c r="G21" s="1870" t="s">
        <v>554</v>
      </c>
      <c r="H21" s="784"/>
      <c r="I21" s="784"/>
      <c r="J21" s="516"/>
      <c r="K21" s="770"/>
      <c r="AF21" s="1858">
        <v>19</v>
      </c>
    </row>
    <row customHeight="1" ht="19.95">
      <c r="D22" s="1865"/>
      <c r="E22" s="1891" t="s">
        <v>722</v>
      </c>
      <c r="F22" s="1877" t="s">
        <v>723</v>
      </c>
      <c r="G22" s="1870" t="s">
        <v>554</v>
      </c>
      <c r="H22" s="784"/>
      <c r="I22" s="784"/>
      <c r="J22" s="516"/>
      <c r="K22" s="770"/>
      <c r="AF22" s="1858">
        <v>19</v>
      </c>
    </row>
    <row customHeight="1" ht="24">
      <c r="D23" s="1865"/>
      <c r="E23" s="1891" t="s">
        <v>312</v>
      </c>
      <c r="F23" s="1181" t="s">
        <v>724</v>
      </c>
      <c r="G23" s="1870" t="s">
        <v>554</v>
      </c>
      <c r="H23" s="784"/>
      <c r="I23" s="784"/>
      <c r="J23" s="516" t="s">
        <v>725</v>
      </c>
      <c r="K23" s="770"/>
      <c r="AF23" s="1858">
        <v>23</v>
      </c>
    </row>
    <row customHeight="1" ht="19.95">
      <c r="D24" s="1865"/>
      <c r="E24" s="1891" t="s">
        <v>726</v>
      </c>
      <c r="F24" s="1877" t="s">
        <v>727</v>
      </c>
      <c r="G24" s="1870" t="s">
        <v>554</v>
      </c>
      <c r="H24" s="784"/>
      <c r="I24" s="784"/>
      <c r="J24" s="516"/>
      <c r="K24" s="770"/>
      <c r="AF24" s="1858">
        <v>19</v>
      </c>
    </row>
    <row customHeight="1" ht="35.699999999999996">
      <c r="D25" s="1865"/>
      <c r="E25" s="1891" t="s">
        <v>728</v>
      </c>
      <c r="F25" s="1877" t="s">
        <v>729</v>
      </c>
      <c r="G25" s="1870" t="s">
        <v>554</v>
      </c>
      <c r="H25" s="784"/>
      <c r="I25" s="784"/>
      <c r="J25" s="516"/>
      <c r="K25" s="770"/>
      <c r="AF25" s="1858">
        <v>34</v>
      </c>
    </row>
    <row customHeight="1" ht="24">
      <c r="D26" s="1865"/>
      <c r="E26" s="1891" t="s">
        <v>730</v>
      </c>
      <c r="F26" s="1181" t="s">
        <v>731</v>
      </c>
      <c r="G26" s="1870" t="s">
        <v>554</v>
      </c>
      <c r="H26" s="784"/>
      <c r="I26" s="784"/>
      <c r="J26" s="516" t="s">
        <v>732</v>
      </c>
      <c r="K26" s="770"/>
      <c r="AF26" s="1858">
        <v>23</v>
      </c>
    </row>
    <row customHeight="1" ht="19.95">
      <c r="D27" s="1865"/>
      <c r="E27" s="1902" t="s">
        <v>733</v>
      </c>
      <c r="F27" s="1877" t="s">
        <v>734</v>
      </c>
      <c r="G27" s="1881" t="s">
        <v>554</v>
      </c>
      <c r="H27" s="1903"/>
      <c r="I27" s="1903"/>
      <c r="J27" s="516"/>
      <c r="K27" s="770"/>
      <c r="AF27" s="1858">
        <v>19</v>
      </c>
    </row>
    <row customHeight="1" ht="19.95">
      <c r="D28" s="1865"/>
      <c r="E28" s="1902" t="s">
        <v>735</v>
      </c>
      <c r="F28" s="1877" t="s">
        <v>736</v>
      </c>
      <c r="G28" s="1881" t="s">
        <v>554</v>
      </c>
      <c r="H28" s="1903"/>
      <c r="I28" s="1903"/>
      <c r="J28" s="516"/>
      <c r="K28" s="770"/>
      <c r="AF28" s="1858">
        <v>19</v>
      </c>
    </row>
    <row customHeight="1" ht="19.95">
      <c r="D29" s="1865"/>
      <c r="E29" s="1902" t="s">
        <v>737</v>
      </c>
      <c r="F29" s="1181" t="s">
        <v>738</v>
      </c>
      <c r="G29" s="1881" t="s">
        <v>554</v>
      </c>
      <c r="H29" s="1903"/>
      <c r="I29" s="1903"/>
      <c r="J29" s="516"/>
      <c r="K29" s="770"/>
      <c r="AF29" s="1858">
        <v>19</v>
      </c>
    </row>
    <row customHeight="1" ht="19.95">
      <c r="D30" s="1865"/>
      <c r="E30" s="1902" t="s">
        <v>739</v>
      </c>
      <c r="F30" s="1181" t="s">
        <v>740</v>
      </c>
      <c r="G30" s="1881" t="s">
        <v>554</v>
      </c>
      <c r="H30" s="1903"/>
      <c r="I30" s="1903"/>
      <c r="J30" s="516"/>
      <c r="K30" s="770"/>
      <c r="AF30" s="1858">
        <v>19</v>
      </c>
    </row>
    <row customHeight="1" ht="19.95">
      <c r="D31" s="1865"/>
      <c r="E31" s="1902" t="s">
        <v>741</v>
      </c>
      <c r="F31" s="1181" t="s">
        <v>742</v>
      </c>
      <c r="G31" s="1881" t="s">
        <v>554</v>
      </c>
      <c r="H31" s="1903"/>
      <c r="I31" s="1903"/>
      <c r="J31" s="516"/>
      <c r="K31" s="770"/>
      <c r="AF31" s="1858">
        <v>19</v>
      </c>
    </row>
    <row s="11238" customFormat="1" customHeight="1" ht="35.699999999999996">
      <c r="A32" s="1214"/>
      <c r="C32" s="1863"/>
      <c r="D32" s="1865"/>
      <c r="E32" s="1902" t="s">
        <v>743</v>
      </c>
      <c r="F32" s="1181" t="s">
        <v>744</v>
      </c>
      <c r="G32" s="1871" t="s">
        <v>554</v>
      </c>
      <c r="H32" s="806">
        <f>SUM(H33:H34)</f>
        <v>0</v>
      </c>
      <c r="I32" s="806">
        <f>SUM(I33:I34)</f>
        <v>0</v>
      </c>
      <c r="J32" s="516" t="s">
        <v>745</v>
      </c>
      <c r="K32" s="770"/>
      <c r="L32" s="1863"/>
      <c r="M32" s="1863"/>
      <c r="R32" s="1863"/>
      <c r="U32" s="771"/>
      <c r="AA32" s="1859"/>
      <c r="AB32" s="1859"/>
      <c r="AC32" s="1859"/>
      <c r="AD32" s="1859"/>
      <c r="AE32" s="1859"/>
      <c r="AF32" s="1387">
        <v>34</v>
      </c>
    </row>
    <row s="11239" customFormat="1" customHeight="1" ht="1.05">
      <c r="A33" s="1394"/>
      <c r="D33" s="775"/>
      <c r="E33" s="1029" t="str">
        <f>E32&amp;".0"</f>
        <v>2.8.0</v>
      </c>
      <c r="F33" s="1218"/>
      <c r="G33" s="778"/>
      <c r="H33" s="1219"/>
      <c r="I33" s="1219"/>
      <c r="J33" s="1220"/>
      <c r="AF33" s="1863">
        <v>1</v>
      </c>
    </row>
    <row s="11238" customFormat="1" customHeight="1" ht="19.95">
      <c r="A34" s="1214"/>
      <c r="C34" s="1863"/>
      <c r="D34" s="1860"/>
      <c r="E34" s="797"/>
      <c r="F34" s="1893" t="s">
        <v>579</v>
      </c>
      <c r="G34" s="799"/>
      <c r="H34" s="800"/>
      <c r="I34" s="800"/>
      <c r="J34" s="528" t="s">
        <v>746</v>
      </c>
      <c r="K34" s="770"/>
      <c r="L34" s="1863"/>
      <c r="M34" s="1863"/>
      <c r="R34" s="1863"/>
      <c r="U34" s="771"/>
      <c r="AA34" s="1859"/>
      <c r="AB34" s="1859"/>
      <c r="AC34" s="1859"/>
      <c r="AD34" s="1859"/>
      <c r="AE34" s="1859"/>
      <c r="AF34" s="1387">
        <v>19</v>
      </c>
    </row>
    <row customHeight="1" ht="60">
      <c r="D35" s="1865"/>
      <c r="E35" s="1902" t="s">
        <v>747</v>
      </c>
      <c r="F35" s="1181" t="s">
        <v>748</v>
      </c>
      <c r="G35" s="1881" t="s">
        <v>554</v>
      </c>
      <c r="H35" s="1903"/>
      <c r="I35" s="1903"/>
      <c r="J35" s="516" t="s">
        <v>749</v>
      </c>
      <c r="K35" s="770"/>
      <c r="AF35" s="1858">
        <v>57</v>
      </c>
    </row>
    <row s="11238" customFormat="1" customHeight="1" ht="24">
      <c r="A36" s="1216" t="s">
        <v>580</v>
      </c>
      <c r="C36" s="1863"/>
      <c r="D36" s="1865"/>
      <c r="E36" s="1891" t="s">
        <v>89</v>
      </c>
      <c r="F36" s="934" t="s">
        <v>750</v>
      </c>
      <c r="G36" s="1870" t="s">
        <v>554</v>
      </c>
      <c r="H36" s="784"/>
      <c r="I36" s="784"/>
      <c r="J36" s="516" t="s">
        <v>751</v>
      </c>
      <c r="K36" s="770"/>
      <c r="L36" s="1863"/>
      <c r="M36" s="1863"/>
      <c r="R36" s="1863"/>
      <c r="U36" s="771"/>
      <c r="AA36" s="1859"/>
      <c r="AB36" s="1859"/>
      <c r="AC36" s="1859"/>
      <c r="AD36" s="1859"/>
      <c r="AE36" s="1859"/>
      <c r="AF36" s="1387">
        <v>23</v>
      </c>
    </row>
    <row s="11238" customFormat="1" customHeight="1" ht="35.699999999999996">
      <c r="A37" s="1216"/>
      <c r="C37" s="1863"/>
      <c r="D37" s="1865"/>
      <c r="E37" s="1891" t="s">
        <v>326</v>
      </c>
      <c r="F37" s="1181" t="s">
        <v>752</v>
      </c>
      <c r="G37" s="1881"/>
      <c r="H37" s="784"/>
      <c r="I37" s="784"/>
      <c r="J37" s="516"/>
      <c r="K37" s="770"/>
      <c r="L37" s="1863"/>
      <c r="M37" s="1863"/>
      <c r="R37" s="1863"/>
      <c r="U37" s="771"/>
      <c r="AA37" s="1859"/>
      <c r="AB37" s="1859"/>
      <c r="AC37" s="1859"/>
      <c r="AD37" s="1859"/>
      <c r="AE37" s="1859"/>
      <c r="AF37" s="1387">
        <v>34</v>
      </c>
    </row>
    <row s="11238" customFormat="1" customHeight="1" ht="19.95">
      <c r="A38" s="1214"/>
      <c r="C38" s="1863"/>
      <c r="D38" s="802"/>
      <c r="E38" s="1891" t="s">
        <v>90</v>
      </c>
      <c r="F38" s="934" t="s">
        <v>753</v>
      </c>
      <c r="G38" s="1870" t="s">
        <v>554</v>
      </c>
      <c r="H38" s="784"/>
      <c r="I38" s="784"/>
      <c r="J38" s="516" t="s">
        <v>754</v>
      </c>
      <c r="K38" s="770"/>
      <c r="L38" s="1863"/>
      <c r="M38" s="1863"/>
      <c r="R38" s="1863"/>
      <c r="U38" s="771"/>
      <c r="AA38" s="1859"/>
      <c r="AB38" s="1859"/>
      <c r="AC38" s="1859"/>
      <c r="AD38" s="1859"/>
      <c r="AE38" s="1859"/>
      <c r="AF38" s="1387">
        <v>19</v>
      </c>
    </row>
    <row s="11238" customFormat="1" customHeight="1" ht="24">
      <c r="A39" s="1214"/>
      <c r="C39" s="1863"/>
      <c r="D39" s="802"/>
      <c r="E39" s="1891" t="s">
        <v>755</v>
      </c>
      <c r="F39" s="1181" t="s">
        <v>756</v>
      </c>
      <c r="G39" s="1881" t="s">
        <v>554</v>
      </c>
      <c r="H39" s="784"/>
      <c r="I39" s="784"/>
      <c r="J39" s="516" t="s">
        <v>757</v>
      </c>
      <c r="K39" s="770"/>
      <c r="L39" s="1863"/>
      <c r="M39" s="1863"/>
      <c r="R39" s="1863"/>
      <c r="U39" s="771"/>
      <c r="AA39" s="1859"/>
      <c r="AB39" s="1859"/>
      <c r="AC39" s="1859"/>
      <c r="AD39" s="1859"/>
      <c r="AE39" s="1859"/>
      <c r="AF39" s="1387">
        <v>23</v>
      </c>
    </row>
    <row s="11238" customFormat="1" customHeight="1" ht="24">
      <c r="A40" s="1214"/>
      <c r="C40" s="1863"/>
      <c r="D40" s="1865"/>
      <c r="E40" s="1891" t="s">
        <v>758</v>
      </c>
      <c r="F40" s="1877" t="s">
        <v>759</v>
      </c>
      <c r="G40" s="1870" t="s">
        <v>554</v>
      </c>
      <c r="H40" s="784"/>
      <c r="I40" s="784"/>
      <c r="J40" s="516" t="s">
        <v>760</v>
      </c>
      <c r="K40" s="770"/>
      <c r="L40" s="1863"/>
      <c r="M40" s="1863"/>
      <c r="R40" s="1863"/>
      <c r="U40" s="771"/>
      <c r="AA40" s="1859"/>
      <c r="AB40" s="1859"/>
      <c r="AC40" s="1859"/>
      <c r="AD40" s="1859"/>
      <c r="AE40" s="1859"/>
      <c r="AF40" s="1387">
        <v>23</v>
      </c>
    </row>
    <row s="11238" customFormat="1" customHeight="1" ht="24">
      <c r="A41" s="1214"/>
      <c r="C41" s="1863"/>
      <c r="D41" s="1865"/>
      <c r="E41" s="1891" t="s">
        <v>761</v>
      </c>
      <c r="F41" s="1877" t="s">
        <v>762</v>
      </c>
      <c r="G41" s="1870" t="s">
        <v>554</v>
      </c>
      <c r="H41" s="784"/>
      <c r="I41" s="784"/>
      <c r="J41" s="516" t="s">
        <v>763</v>
      </c>
      <c r="K41" s="770"/>
      <c r="L41" s="1863"/>
      <c r="M41" s="1863"/>
      <c r="R41" s="1863"/>
      <c r="U41" s="771"/>
      <c r="AA41" s="1859"/>
      <c r="AB41" s="1859"/>
      <c r="AC41" s="1859"/>
      <c r="AD41" s="1859"/>
      <c r="AE41" s="1859"/>
      <c r="AF41" s="1387">
        <v>23</v>
      </c>
    </row>
    <row s="11238" customFormat="1" customHeight="1" ht="24">
      <c r="A42" s="1214"/>
      <c r="C42" s="1863"/>
      <c r="D42" s="1865"/>
      <c r="E42" s="1891" t="s">
        <v>764</v>
      </c>
      <c r="F42" s="1877" t="s">
        <v>765</v>
      </c>
      <c r="G42" s="1870" t="s">
        <v>554</v>
      </c>
      <c r="H42" s="784"/>
      <c r="I42" s="784"/>
      <c r="J42" s="516" t="s">
        <v>766</v>
      </c>
      <c r="K42" s="770"/>
      <c r="L42" s="1863"/>
      <c r="M42" s="1863"/>
      <c r="R42" s="1863"/>
      <c r="U42" s="771"/>
      <c r="AA42" s="1859"/>
      <c r="AB42" s="1859"/>
      <c r="AC42" s="1859"/>
      <c r="AD42" s="1859"/>
      <c r="AE42" s="1859"/>
      <c r="AF42" s="1387">
        <v>23</v>
      </c>
    </row>
    <row s="11238" customFormat="1" customHeight="1" ht="35.699999999999996">
      <c r="A43" s="1214"/>
      <c r="C43" s="1863" t="s">
        <v>590</v>
      </c>
      <c r="D43" s="1865"/>
      <c r="E43" s="1891" t="s">
        <v>110</v>
      </c>
      <c r="F43" s="934" t="s">
        <v>631</v>
      </c>
      <c r="G43" s="1873" t="s">
        <v>767</v>
      </c>
      <c r="H43" s="628"/>
      <c r="I43" s="628"/>
      <c r="J43" s="516" t="s">
        <v>768</v>
      </c>
      <c r="K43" s="770"/>
      <c r="L43" s="1863"/>
      <c r="M43" s="1863"/>
      <c r="R43" s="1863"/>
      <c r="U43" s="771"/>
      <c r="AA43" s="1859"/>
      <c r="AB43" s="1859"/>
      <c r="AC43" s="1859"/>
      <c r="AD43" s="1859"/>
      <c r="AE43" s="1859"/>
      <c r="AF43" s="1387">
        <v>34</v>
      </c>
    </row>
    <row s="11238" customFormat="1" customHeight="1" ht="35.699999999999996">
      <c r="A44" s="1214"/>
      <c r="C44" s="1863"/>
      <c r="D44" s="1865"/>
      <c r="E44" s="1891" t="s">
        <v>91</v>
      </c>
      <c r="F44" s="934" t="s">
        <v>769</v>
      </c>
      <c r="G44" s="1870" t="s">
        <v>770</v>
      </c>
      <c r="H44" s="772"/>
      <c r="I44" s="772"/>
      <c r="J44" s="516" t="s">
        <v>771</v>
      </c>
      <c r="K44" s="770"/>
      <c r="L44" s="1863"/>
      <c r="M44" s="1863"/>
      <c r="R44" s="1863"/>
      <c r="U44" s="771"/>
      <c r="AA44" s="1859"/>
      <c r="AB44" s="1859"/>
      <c r="AC44" s="1859"/>
      <c r="AD44" s="1859"/>
      <c r="AE44" s="1859"/>
      <c r="AF44" s="1387">
        <v>34</v>
      </c>
    </row>
    <row s="11238" customFormat="1" customHeight="1" ht="24">
      <c r="A45" s="1214"/>
      <c r="C45" s="1863"/>
      <c r="D45" s="1865"/>
      <c r="E45" s="1891" t="s">
        <v>92</v>
      </c>
      <c r="F45" s="934" t="s">
        <v>772</v>
      </c>
      <c r="G45" s="1881" t="s">
        <v>773</v>
      </c>
      <c r="H45" s="772"/>
      <c r="I45" s="772"/>
      <c r="J45" s="516" t="s">
        <v>774</v>
      </c>
      <c r="K45" s="770"/>
      <c r="L45" s="1863"/>
      <c r="M45" s="1863"/>
      <c r="R45" s="1863"/>
      <c r="U45" s="771"/>
      <c r="AA45" s="1859"/>
      <c r="AB45" s="1859"/>
      <c r="AC45" s="1859"/>
      <c r="AD45" s="1859"/>
      <c r="AE45" s="1859"/>
      <c r="AF45" s="1387">
        <v>23</v>
      </c>
    </row>
    <row s="11238" customFormat="1" customHeight="1" ht="19.95">
      <c r="A46" s="1214"/>
      <c r="C46" s="1863"/>
      <c r="D46" s="1865"/>
      <c r="E46" s="1891" t="s">
        <v>111</v>
      </c>
      <c r="F46" s="934" t="s">
        <v>775</v>
      </c>
      <c r="G46" s="1870" t="s">
        <v>592</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80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0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0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0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0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0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0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0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0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0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0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0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0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0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0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0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0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0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0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0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0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0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0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0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0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0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0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0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0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0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0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0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0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0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0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0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0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0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0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0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0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0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0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0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0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0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0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0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0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0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0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0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0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0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0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0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0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0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0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0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0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0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0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0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0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0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0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0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0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0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0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0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0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0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0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0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0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0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0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0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0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0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0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0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0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0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0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0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0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0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0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0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0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0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0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0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0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0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0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0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0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0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0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0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0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0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0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0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0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0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0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0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0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0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0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0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0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0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0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0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0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0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0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0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0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0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0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0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0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0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0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0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0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0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0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0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0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0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0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0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0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0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0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0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0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0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0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0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0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0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0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0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0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0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0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CF29-FC92-26F4-4553-75EB56640C7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822" width="10.7109375" hidden="1" customWidth="1"/>
    <col min="2" max="2" style="11238" width="16.8515625" hidden="1" customWidth="1"/>
    <col min="3" max="3" style="11239" width="5.57421875" hidden="1" customWidth="1"/>
    <col min="4" max="4" style="11160" width="3.00390625" customWidth="1"/>
    <col min="5" max="5" style="11160" width="7.00390625" customWidth="1"/>
    <col min="6" max="6" style="11160" width="54.00390625" customWidth="1"/>
    <col min="7" max="7" style="11160" width="10.00390625" customWidth="1"/>
    <col min="8" max="8" style="11160" width="40.7109375" hidden="1" customWidth="1"/>
    <col min="9" max="9" style="11160" width="40.00390625" customWidth="1"/>
    <col min="10" max="10" style="11160" width="102.00390625" customWidth="1"/>
    <col min="11" max="11" style="11238" width="9.00390625" customWidth="1"/>
    <col min="12" max="12" style="11239" width="5.00390625" customWidth="1"/>
    <col min="13" max="13" style="11239" width="3.00390625" customWidth="1"/>
    <col min="14" max="17" style="11238" width="3.00390625" customWidth="1"/>
    <col min="18" max="18" style="11239" width="10.00390625" customWidth="1"/>
    <col min="19" max="19" style="11238" width="34.00390625" customWidth="1"/>
    <col min="20" max="20" style="11238" width="9.00390625" customWidth="1"/>
    <col min="21" max="21" style="12823" width="8.00390625" customWidth="1"/>
    <col min="22" max="26" style="11238" width="8.00390625" customWidth="1"/>
    <col min="27" max="31" style="11124" width="8.00390625" customWidth="1"/>
    <col min="32" max="32" style="11160" width="9.140625" hidden="1"/>
  </cols>
  <sheetData>
    <row s="11238" customFormat="1" customHeight="1" ht="22.5" hidden="1">
      <c r="A1" s="1214"/>
      <c r="C1" s="1863"/>
      <c r="D1" s="764"/>
      <c r="H1" s="1387">
        <v>4</v>
      </c>
      <c r="I1" s="1387">
        <v>4</v>
      </c>
      <c r="L1" s="1863"/>
      <c r="M1" s="1863"/>
      <c r="R1" s="1863"/>
      <c r="AF1" s="1387" t="s">
        <v>14</v>
      </c>
    </row>
    <row s="11238" customFormat="1" customHeight="1" ht="22.5" hidden="1">
      <c r="A2" s="1214"/>
      <c r="C2" s="1863"/>
      <c r="D2" s="765"/>
      <c r="E2" s="1885"/>
      <c r="F2" s="767"/>
      <c r="G2" s="1884" t="s">
        <v>554</v>
      </c>
      <c r="H2" s="768"/>
      <c r="I2" s="768"/>
      <c r="J2" s="769" t="s">
        <v>557</v>
      </c>
      <c r="K2" s="770"/>
      <c r="L2" s="1863"/>
      <c r="M2" s="1863"/>
      <c r="R2" s="1863"/>
      <c r="U2" s="771"/>
      <c r="AA2" s="1859"/>
      <c r="AB2" s="1859"/>
      <c r="AC2" s="1859"/>
      <c r="AD2" s="1859"/>
      <c r="AE2" s="1859"/>
      <c r="AF2" s="1387">
        <v>0</v>
      </c>
    </row>
    <row customHeight="1" ht="11.25" hidden="1">
      <c r="AF3" s="1858">
        <v>0</v>
      </c>
    </row>
    <row s="1112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776</v>
      </c>
      <c r="F6" s="2475"/>
      <c r="G6" s="2475"/>
      <c r="H6" s="2475"/>
      <c r="I6" s="2475"/>
      <c r="J6" s="783"/>
      <c r="AF6" s="1858">
        <v>32</v>
      </c>
    </row>
    <row customHeight="1" ht="25.2">
      <c r="E7" s="2476" t="str">
        <f>IF(org=0,"Не определено",org)</f>
        <v>ООО "Рыбинская генерация"</v>
      </c>
      <c r="F7" s="2476"/>
      <c r="G7" s="2476"/>
      <c r="H7" s="2476"/>
      <c r="I7" s="2476"/>
      <c r="AF7" s="1858">
        <v>24</v>
      </c>
    </row>
    <row customHeight="1" ht="11.549999999999999">
      <c r="E8" s="1362"/>
      <c r="F8" s="1362"/>
      <c r="G8" s="1362"/>
      <c r="H8" s="1362"/>
      <c r="I8" s="1362"/>
      <c r="AF8" s="1858">
        <v>11</v>
      </c>
    </row>
    <row s="11239"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566</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567</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302</v>
      </c>
      <c r="F13" s="2597"/>
      <c r="G13" s="2597"/>
      <c r="H13" s="1883"/>
      <c r="I13" s="1883"/>
      <c r="J13" s="2354"/>
      <c r="AF13" s="1858">
        <v>11</v>
      </c>
    </row>
    <row customHeight="1" ht="24">
      <c r="E14" s="1884" t="s">
        <v>87</v>
      </c>
      <c r="F14" s="1887" t="s">
        <v>304</v>
      </c>
      <c r="G14" s="1887" t="s">
        <v>568</v>
      </c>
      <c r="H14" s="1887" t="s">
        <v>305</v>
      </c>
      <c r="I14" s="1887" t="s">
        <v>305</v>
      </c>
      <c r="J14" s="2354"/>
      <c r="AF14" s="1858">
        <v>23</v>
      </c>
    </row>
    <row customHeight="1" ht="19.95">
      <c r="D15" s="1865"/>
      <c r="E15" s="1857" t="s">
        <v>108</v>
      </c>
      <c r="F15" s="934" t="s">
        <v>777</v>
      </c>
      <c r="G15" s="1884" t="s">
        <v>554</v>
      </c>
      <c r="H15" s="784"/>
      <c r="I15" s="784"/>
      <c r="J15" s="516" t="s">
        <v>778</v>
      </c>
      <c r="K15" s="770" t="s">
        <v>632</v>
      </c>
      <c r="AF15" s="1858">
        <v>19</v>
      </c>
    </row>
    <row customHeight="1" ht="24">
      <c r="D16" s="1865"/>
      <c r="E16" s="1857" t="s">
        <v>109</v>
      </c>
      <c r="F16" s="1892" t="s">
        <v>779</v>
      </c>
      <c r="G16" s="1884" t="s">
        <v>554</v>
      </c>
      <c r="H16" s="785">
        <f>SUM(H17,H20:H27)</f>
        <v>0</v>
      </c>
      <c r="I16" s="785">
        <f>SUM(I17,I20:I27)</f>
        <v>0</v>
      </c>
      <c r="J16" s="516" t="s">
        <v>780</v>
      </c>
      <c r="K16" s="770" t="s">
        <v>632</v>
      </c>
      <c r="AF16" s="1858">
        <v>23</v>
      </c>
    </row>
    <row customHeight="1" ht="35.699999999999996">
      <c r="D17" s="1865"/>
      <c r="E17" s="1891" t="s">
        <v>710</v>
      </c>
      <c r="F17" s="1894" t="s">
        <v>781</v>
      </c>
      <c r="G17" s="1881" t="s">
        <v>554</v>
      </c>
      <c r="H17" s="784"/>
      <c r="I17" s="784"/>
      <c r="J17" s="516" t="s">
        <v>782</v>
      </c>
      <c r="K17" s="770"/>
      <c r="AF17" s="1858">
        <v>34</v>
      </c>
    </row>
    <row customHeight="1" ht="19.95">
      <c r="D18" s="1865"/>
      <c r="E18" s="1891" t="s">
        <v>713</v>
      </c>
      <c r="F18" s="1895" t="s">
        <v>783</v>
      </c>
      <c r="G18" s="1881" t="s">
        <v>554</v>
      </c>
      <c r="H18" s="784"/>
      <c r="I18" s="784"/>
      <c r="J18" s="516"/>
      <c r="K18" s="770"/>
      <c r="AF18" s="1858">
        <v>19</v>
      </c>
    </row>
    <row customHeight="1" ht="24">
      <c r="D19" s="1865"/>
      <c r="E19" s="1891" t="s">
        <v>716</v>
      </c>
      <c r="F19" s="1895" t="s">
        <v>784</v>
      </c>
      <c r="G19" s="1881" t="s">
        <v>554</v>
      </c>
      <c r="H19" s="784"/>
      <c r="I19" s="784"/>
      <c r="J19" s="516"/>
      <c r="K19" s="770"/>
      <c r="AF19" s="1858">
        <v>23</v>
      </c>
    </row>
    <row customHeight="1" ht="35.699999999999996">
      <c r="D20" s="1865"/>
      <c r="E20" s="1891" t="s">
        <v>309</v>
      </c>
      <c r="F20" s="1894" t="s">
        <v>785</v>
      </c>
      <c r="G20" s="1881" t="s">
        <v>554</v>
      </c>
      <c r="H20" s="784"/>
      <c r="I20" s="784"/>
      <c r="J20" s="516"/>
      <c r="K20" s="770"/>
      <c r="AF20" s="1858">
        <v>34</v>
      </c>
    </row>
    <row customHeight="1" ht="48.29999999999999">
      <c r="D21" s="1865"/>
      <c r="E21" s="1891" t="s">
        <v>312</v>
      </c>
      <c r="F21" s="1894" t="s">
        <v>786</v>
      </c>
      <c r="G21" s="1881" t="s">
        <v>554</v>
      </c>
      <c r="H21" s="784"/>
      <c r="I21" s="784"/>
      <c r="J21" s="516"/>
      <c r="K21" s="770"/>
      <c r="AF21" s="1858">
        <v>46</v>
      </c>
    </row>
    <row customHeight="1" ht="60">
      <c r="D22" s="1865"/>
      <c r="E22" s="1891" t="s">
        <v>730</v>
      </c>
      <c r="F22" s="1894" t="s">
        <v>787</v>
      </c>
      <c r="G22" s="1881" t="s">
        <v>554</v>
      </c>
      <c r="H22" s="784"/>
      <c r="I22" s="784"/>
      <c r="J22" s="516"/>
      <c r="K22" s="770"/>
      <c r="AF22" s="1858">
        <v>57</v>
      </c>
    </row>
    <row customHeight="1" ht="35.699999999999996">
      <c r="D23" s="1865"/>
      <c r="E23" s="1891" t="s">
        <v>737</v>
      </c>
      <c r="F23" s="1894" t="s">
        <v>788</v>
      </c>
      <c r="G23" s="1881" t="s">
        <v>554</v>
      </c>
      <c r="H23" s="784"/>
      <c r="I23" s="784"/>
      <c r="J23" s="516"/>
      <c r="K23" s="770"/>
      <c r="AF23" s="1858">
        <v>34</v>
      </c>
    </row>
    <row customHeight="1" ht="35.699999999999996">
      <c r="D24" s="1865"/>
      <c r="E24" s="1891" t="s">
        <v>739</v>
      </c>
      <c r="F24" s="1894" t="s">
        <v>789</v>
      </c>
      <c r="G24" s="1881" t="s">
        <v>554</v>
      </c>
      <c r="H24" s="784"/>
      <c r="I24" s="784"/>
      <c r="J24" s="516"/>
      <c r="K24" s="770"/>
      <c r="AF24" s="1858">
        <v>34</v>
      </c>
    </row>
    <row customHeight="1" ht="24">
      <c r="D25" s="1865"/>
      <c r="E25" s="1891" t="s">
        <v>741</v>
      </c>
      <c r="F25" s="1894" t="s">
        <v>790</v>
      </c>
      <c r="G25" s="1881" t="s">
        <v>554</v>
      </c>
      <c r="H25" s="784"/>
      <c r="I25" s="784"/>
      <c r="J25" s="516"/>
      <c r="K25" s="770"/>
      <c r="AF25" s="1858">
        <v>23</v>
      </c>
    </row>
    <row customHeight="1" ht="76.5">
      <c r="D26" s="1865"/>
      <c r="E26" s="1891" t="s">
        <v>743</v>
      </c>
      <c r="F26" s="1894" t="s">
        <v>791</v>
      </c>
      <c r="G26" s="1881" t="s">
        <v>554</v>
      </c>
      <c r="H26" s="784"/>
      <c r="I26" s="784"/>
      <c r="J26" s="516"/>
      <c r="K26" s="770"/>
      <c r="AF26" s="1858">
        <v>73</v>
      </c>
    </row>
    <row s="11238" customFormat="1" customHeight="1" ht="35.699999999999996">
      <c r="A27" s="1214"/>
      <c r="C27" s="1863"/>
      <c r="D27" s="1865"/>
      <c r="E27" s="1856" t="s">
        <v>747</v>
      </c>
      <c r="F27" s="1855" t="s">
        <v>792</v>
      </c>
      <c r="G27" s="1882" t="s">
        <v>554</v>
      </c>
      <c r="H27" s="806">
        <f>SUM(H28:H29)</f>
        <v>0</v>
      </c>
      <c r="I27" s="806">
        <f>SUM(I28:I29)</f>
        <v>0</v>
      </c>
      <c r="J27" s="516" t="s">
        <v>745</v>
      </c>
      <c r="K27" s="770"/>
      <c r="L27" s="1863"/>
      <c r="M27" s="1863"/>
      <c r="R27" s="1863"/>
      <c r="U27" s="771"/>
      <c r="AA27" s="1859"/>
      <c r="AB27" s="1859"/>
      <c r="AC27" s="1859"/>
      <c r="AD27" s="1859"/>
      <c r="AE27" s="1859"/>
      <c r="AF27" s="1387">
        <v>34</v>
      </c>
    </row>
    <row s="11239" customFormat="1" customHeight="1" ht="1.05">
      <c r="A28" s="1394"/>
      <c r="D28" s="775"/>
      <c r="E28" s="1029" t="str">
        <f>E27&amp;".0"</f>
        <v>2.9.0</v>
      </c>
      <c r="F28" s="1218"/>
      <c r="G28" s="778"/>
      <c r="H28" s="1219"/>
      <c r="I28" s="1219"/>
      <c r="J28" s="1220"/>
      <c r="AF28" s="1863">
        <v>1</v>
      </c>
    </row>
    <row s="11238" customFormat="1" customHeight="1" ht="19.95">
      <c r="A29" s="1214"/>
      <c r="C29" s="1863"/>
      <c r="D29" s="1860"/>
      <c r="E29" s="797"/>
      <c r="F29" s="1893" t="s">
        <v>579</v>
      </c>
      <c r="G29" s="799"/>
      <c r="H29" s="800"/>
      <c r="I29" s="800"/>
      <c r="J29" s="528" t="s">
        <v>746</v>
      </c>
      <c r="K29" s="770"/>
      <c r="L29" s="1863"/>
      <c r="M29" s="1863"/>
      <c r="R29" s="1863"/>
      <c r="U29" s="771"/>
      <c r="AA29" s="1859"/>
      <c r="AB29" s="1859"/>
      <c r="AC29" s="1859"/>
      <c r="AD29" s="1859"/>
      <c r="AE29" s="1859"/>
      <c r="AF29" s="1387">
        <v>19</v>
      </c>
    </row>
    <row s="11238" customFormat="1" customHeight="1" ht="24">
      <c r="A30" s="1214"/>
      <c r="C30" s="1863"/>
      <c r="D30" s="1865"/>
      <c r="E30" s="1891" t="s">
        <v>89</v>
      </c>
      <c r="F30" s="1888" t="s">
        <v>793</v>
      </c>
      <c r="G30" s="1881" t="s">
        <v>554</v>
      </c>
      <c r="H30" s="784"/>
      <c r="I30" s="784"/>
      <c r="J30" s="516"/>
      <c r="K30" s="770"/>
      <c r="L30" s="1863"/>
      <c r="M30" s="1863"/>
      <c r="R30" s="1863"/>
      <c r="U30" s="771"/>
      <c r="AA30" s="1859"/>
      <c r="AB30" s="1859"/>
      <c r="AC30" s="1859"/>
      <c r="AD30" s="1859"/>
      <c r="AE30" s="1859"/>
      <c r="AF30" s="1387">
        <v>23</v>
      </c>
    </row>
    <row s="11238" customFormat="1" customHeight="1" ht="35.699999999999996">
      <c r="A31" s="1214"/>
      <c r="C31" s="1863"/>
      <c r="D31" s="802"/>
      <c r="E31" s="1891" t="s">
        <v>90</v>
      </c>
      <c r="F31" s="1888" t="s">
        <v>794</v>
      </c>
      <c r="G31" s="1881" t="s">
        <v>554</v>
      </c>
      <c r="H31" s="784"/>
      <c r="I31" s="784"/>
      <c r="J31" s="516" t="s">
        <v>795</v>
      </c>
      <c r="K31" s="770"/>
      <c r="L31" s="1863"/>
      <c r="M31" s="1863"/>
      <c r="R31" s="1863"/>
      <c r="U31" s="771"/>
      <c r="AA31" s="1859"/>
      <c r="AB31" s="1859"/>
      <c r="AC31" s="1859"/>
      <c r="AD31" s="1859"/>
      <c r="AE31" s="1859"/>
      <c r="AF31" s="1387">
        <v>34</v>
      </c>
    </row>
    <row s="11238" customFormat="1" customHeight="1" ht="24">
      <c r="A32" s="1214"/>
      <c r="C32" s="1863"/>
      <c r="D32" s="1865"/>
      <c r="E32" s="1891" t="s">
        <v>755</v>
      </c>
      <c r="F32" s="917" t="s">
        <v>759</v>
      </c>
      <c r="G32" s="1881" t="s">
        <v>554</v>
      </c>
      <c r="H32" s="784"/>
      <c r="I32" s="784"/>
      <c r="J32" s="516" t="s">
        <v>796</v>
      </c>
      <c r="K32" s="770"/>
      <c r="L32" s="1863"/>
      <c r="M32" s="1863"/>
      <c r="R32" s="1863"/>
      <c r="U32" s="771"/>
      <c r="AA32" s="1859"/>
      <c r="AB32" s="1859"/>
      <c r="AC32" s="1859"/>
      <c r="AD32" s="1859"/>
      <c r="AE32" s="1859"/>
      <c r="AF32" s="1387">
        <v>23</v>
      </c>
    </row>
    <row s="11238" customFormat="1" customHeight="1" ht="24">
      <c r="A33" s="1214"/>
      <c r="C33" s="1863"/>
      <c r="D33" s="1865"/>
      <c r="E33" s="1891" t="s">
        <v>797</v>
      </c>
      <c r="F33" s="917" t="s">
        <v>798</v>
      </c>
      <c r="G33" s="1881" t="s">
        <v>554</v>
      </c>
      <c r="H33" s="784"/>
      <c r="I33" s="784"/>
      <c r="J33" s="516" t="s">
        <v>799</v>
      </c>
      <c r="K33" s="770"/>
      <c r="L33" s="1863"/>
      <c r="M33" s="1863"/>
      <c r="R33" s="1863"/>
      <c r="U33" s="771"/>
      <c r="AA33" s="1859"/>
      <c r="AB33" s="1859"/>
      <c r="AC33" s="1859"/>
      <c r="AD33" s="1859"/>
      <c r="AE33" s="1859"/>
      <c r="AF33" s="1387">
        <v>23</v>
      </c>
    </row>
    <row s="11238" customFormat="1" customHeight="1" ht="24">
      <c r="A34" s="1214"/>
      <c r="C34" s="1863"/>
      <c r="D34" s="1865"/>
      <c r="E34" s="1891" t="s">
        <v>800</v>
      </c>
      <c r="F34" s="917" t="s">
        <v>765</v>
      </c>
      <c r="G34" s="1881" t="s">
        <v>554</v>
      </c>
      <c r="H34" s="784"/>
      <c r="I34" s="784"/>
      <c r="J34" s="516" t="s">
        <v>801</v>
      </c>
      <c r="K34" s="770"/>
      <c r="L34" s="1863"/>
      <c r="M34" s="1863"/>
      <c r="R34" s="1863"/>
      <c r="U34" s="771"/>
      <c r="AA34" s="1859"/>
      <c r="AB34" s="1859"/>
      <c r="AC34" s="1859"/>
      <c r="AD34" s="1859"/>
      <c r="AE34" s="1859"/>
      <c r="AF34" s="1387">
        <v>23</v>
      </c>
    </row>
    <row s="11238" customFormat="1" customHeight="1" ht="35.699999999999996">
      <c r="A35" s="1214"/>
      <c r="C35" s="1863" t="s">
        <v>590</v>
      </c>
      <c r="D35" s="1865"/>
      <c r="E35" s="1891" t="s">
        <v>110</v>
      </c>
      <c r="F35" s="1888" t="s">
        <v>631</v>
      </c>
      <c r="G35" s="1884" t="s">
        <v>308</v>
      </c>
      <c r="H35" s="628"/>
      <c r="I35" s="628"/>
      <c r="J35" s="516" t="s">
        <v>802</v>
      </c>
      <c r="K35" s="770"/>
      <c r="L35" s="1863"/>
      <c r="M35" s="1863"/>
      <c r="R35" s="1863"/>
      <c r="U35" s="771"/>
      <c r="AA35" s="1859"/>
      <c r="AB35" s="1859"/>
      <c r="AC35" s="1859"/>
      <c r="AD35" s="1859"/>
      <c r="AE35" s="1859"/>
      <c r="AF35" s="1387">
        <v>34</v>
      </c>
    </row>
    <row s="11238" customFormat="1" customHeight="1" ht="35.699999999999996">
      <c r="A36" s="1214"/>
      <c r="C36" s="1863"/>
      <c r="D36" s="1865"/>
      <c r="E36" s="1891" t="s">
        <v>91</v>
      </c>
      <c r="F36" s="1888" t="s">
        <v>803</v>
      </c>
      <c r="G36" s="1881" t="s">
        <v>770</v>
      </c>
      <c r="H36" s="772"/>
      <c r="I36" s="772"/>
      <c r="J36" s="516" t="s">
        <v>771</v>
      </c>
      <c r="K36" s="770"/>
      <c r="L36" s="1863"/>
      <c r="M36" s="1863"/>
      <c r="R36" s="1863"/>
      <c r="U36" s="771"/>
      <c r="AA36" s="1859"/>
      <c r="AB36" s="1859"/>
      <c r="AC36" s="1859"/>
      <c r="AD36" s="1859"/>
      <c r="AE36" s="1859"/>
      <c r="AF36" s="1387">
        <v>34</v>
      </c>
    </row>
    <row s="11238" customFormat="1" customHeight="1" ht="24">
      <c r="A37" s="1214"/>
      <c r="C37" s="1863"/>
      <c r="D37" s="1865"/>
      <c r="E37" s="1891" t="s">
        <v>92</v>
      </c>
      <c r="F37" s="1888" t="s">
        <v>804</v>
      </c>
      <c r="G37" s="1881" t="s">
        <v>773</v>
      </c>
      <c r="H37" s="772"/>
      <c r="I37" s="772"/>
      <c r="J37" s="516" t="s">
        <v>774</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805</v>
      </c>
      <c r="F39" s="2512" t="s">
        <v>806</v>
      </c>
      <c r="G39" s="2512"/>
      <c r="H39" s="596"/>
      <c r="I39" s="596"/>
      <c r="J39" s="596"/>
      <c r="AF39" s="1858">
        <v>26</v>
      </c>
    </row>
    <row s="11808" customFormat="1" customHeight="1" ht="39.75">
      <c r="A40" s="1214"/>
      <c r="B40" s="1863"/>
      <c r="C40" s="1863"/>
      <c r="D40" s="578"/>
      <c r="F40" s="2512" t="s">
        <v>807</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80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80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80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80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80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80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80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80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0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0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0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0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0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0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0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0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0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0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0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0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0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0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0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0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0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0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0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0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0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0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0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0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0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0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0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0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0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0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0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0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0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0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0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0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0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0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0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0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0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0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0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0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0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0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0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0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0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0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0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0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0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0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0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0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0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0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0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0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0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0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0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0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0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0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0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0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0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0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0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0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0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0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0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0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0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0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0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0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0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0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0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0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0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0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0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0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0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0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0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0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0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0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0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0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0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0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0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0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0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0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0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0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0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0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0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0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0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0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0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0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0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0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0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0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0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0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0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0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0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0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0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0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0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0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0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0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0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0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0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0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0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0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0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0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0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0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0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0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0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0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0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0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0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0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0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E3628-C728-1A08-5708-D786EAF3F1E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3049" width="9.140625" hidden="1" customWidth="1"/>
    <col min="2" max="2" style="11239" width="3.57421875" hidden="1" customWidth="1"/>
    <col min="3" max="3" style="11160" width="3.00390625" customWidth="1"/>
    <col min="4" max="4" style="11160" width="7.00390625" customWidth="1"/>
    <col min="5" max="5" style="11160" width="69.00390625" customWidth="1"/>
    <col min="6" max="6" style="11160" width="10.00390625" customWidth="1"/>
    <col min="7" max="8" style="11160" width="44.00390625" hidden="1" customWidth="1"/>
    <col min="9" max="9" style="11160" width="44.00390625" customWidth="1"/>
    <col min="10" max="10" style="11160" width="43.00390625" customWidth="1"/>
    <col min="11" max="11" style="11160" width="73.00390625" customWidth="1"/>
    <col min="12" max="12" style="11160" width="3.00390625" customWidth="1"/>
    <col min="13" max="23" style="11160" width="10.00390625" customWidth="1"/>
    <col min="24" max="24" style="11160" width="10.57421875" hidden="1"/>
  </cols>
  <sheetData>
    <row s="11238"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160" customFormat="1" customHeight="1" ht="21">
      <c r="A4" s="1178"/>
      <c r="B4" s="738"/>
      <c r="D4" s="2441" t="str">
        <f>IF(org=0,"Не определено",org)</f>
        <v>ООО "Рыбинская генерация"</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566</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567</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160" customFormat="1" customHeight="1" ht="11.549999999999999">
      <c r="A10" s="1248"/>
      <c r="B10" s="738"/>
      <c r="D10" s="2328" t="s">
        <v>302</v>
      </c>
      <c r="E10" s="2329"/>
      <c r="F10" s="2329"/>
      <c r="G10" s="2329"/>
      <c r="H10" s="2329"/>
      <c r="I10" s="2329"/>
      <c r="J10" s="2330"/>
      <c r="K10" s="2426"/>
      <c r="L10" s="736"/>
      <c r="X10" s="985">
        <v>11</v>
      </c>
    </row>
    <row s="11160" customFormat="1" customHeight="1" ht="24">
      <c r="A11" s="2612"/>
      <c r="B11" s="2612"/>
      <c r="C11" s="884"/>
      <c r="D11" s="930" t="s">
        <v>87</v>
      </c>
      <c r="E11" s="932" t="s">
        <v>808</v>
      </c>
      <c r="F11" s="932" t="s">
        <v>568</v>
      </c>
      <c r="G11" s="692" t="s">
        <v>305</v>
      </c>
      <c r="H11" s="692" t="s">
        <v>392</v>
      </c>
      <c r="I11" s="1034" t="s">
        <v>305</v>
      </c>
      <c r="J11" s="1035" t="s">
        <v>392</v>
      </c>
      <c r="K11" s="2459"/>
      <c r="L11" s="885"/>
      <c r="X11" s="736">
        <v>23</v>
      </c>
    </row>
    <row s="11239" customFormat="1" customHeight="1" ht="10.5">
      <c r="A12" s="1179"/>
      <c r="D12" s="1252" t="s">
        <v>108</v>
      </c>
      <c r="E12" s="1252" t="s">
        <v>109</v>
      </c>
      <c r="F12" s="1252" t="s">
        <v>89</v>
      </c>
      <c r="G12" s="1253" t="str">
        <f>G1&amp;".1"</f>
        <v>4.1</v>
      </c>
      <c r="H12" s="1253" t="str">
        <f>G1&amp;".2"</f>
        <v>4.2</v>
      </c>
      <c r="I12" s="1253" t="str">
        <f>I1&amp;".1"</f>
        <v>4.1</v>
      </c>
      <c r="J12" s="1253" t="str">
        <f>I1&amp;".2"</f>
        <v>4.2</v>
      </c>
      <c r="K12" s="1253"/>
      <c r="X12" s="738">
        <v>10</v>
      </c>
    </row>
    <row customHeight="1" ht="22.5" hidden="1">
      <c r="A13" s="2619" t="s">
        <v>809</v>
      </c>
      <c r="D13" s="1180" t="s">
        <v>108</v>
      </c>
      <c r="E13" s="506" t="s">
        <v>810</v>
      </c>
      <c r="F13" s="887" t="s">
        <v>811</v>
      </c>
      <c r="G13" s="784"/>
      <c r="H13" s="888"/>
      <c r="I13" s="784"/>
      <c r="J13" s="888"/>
      <c r="K13" s="516" t="s">
        <v>812</v>
      </c>
      <c r="L13" s="947"/>
      <c r="X13" s="732">
        <v>0</v>
      </c>
    </row>
    <row customHeight="1" ht="22.5" hidden="1">
      <c r="A14" s="2619"/>
      <c r="D14" s="766" t="s">
        <v>109</v>
      </c>
      <c r="E14" s="506" t="s">
        <v>813</v>
      </c>
      <c r="F14" s="887" t="s">
        <v>814</v>
      </c>
      <c r="G14" s="784"/>
      <c r="H14" s="889"/>
      <c r="I14" s="784"/>
      <c r="J14" s="889"/>
      <c r="K14" s="516" t="s">
        <v>815</v>
      </c>
      <c r="L14" s="947"/>
      <c r="X14" s="732">
        <v>0</v>
      </c>
    </row>
    <row s="11160" customFormat="1" customHeight="1" ht="78.75" hidden="1">
      <c r="A15" s="2619"/>
      <c r="B15" s="738"/>
      <c r="D15" s="1180" t="s">
        <v>89</v>
      </c>
      <c r="E15" s="934" t="s">
        <v>816</v>
      </c>
      <c r="F15" s="1177" t="s">
        <v>308</v>
      </c>
      <c r="G15" s="1177" t="s">
        <v>308</v>
      </c>
      <c r="H15" s="333"/>
      <c r="I15" s="1177" t="s">
        <v>308</v>
      </c>
      <c r="J15" s="333"/>
      <c r="K15" s="516" t="s">
        <v>817</v>
      </c>
      <c r="L15" s="947"/>
      <c r="X15" s="985">
        <v>0</v>
      </c>
    </row>
    <row s="11160" customFormat="1" customHeight="1" ht="22.5" hidden="1">
      <c r="A16" s="2619"/>
      <c r="B16" s="738"/>
      <c r="D16" s="1180" t="s">
        <v>326</v>
      </c>
      <c r="E16" s="1181" t="s">
        <v>818</v>
      </c>
      <c r="F16" s="1177" t="s">
        <v>819</v>
      </c>
      <c r="G16" s="1044"/>
      <c r="H16" s="333"/>
      <c r="I16" s="1044"/>
      <c r="J16" s="333"/>
      <c r="K16" s="516"/>
      <c r="L16" s="947"/>
      <c r="X16" s="985">
        <v>0</v>
      </c>
    </row>
    <row s="11160" customFormat="1" customHeight="1" ht="22.5" hidden="1">
      <c r="A17" s="2619"/>
      <c r="B17" s="738"/>
      <c r="D17" s="1180" t="s">
        <v>334</v>
      </c>
      <c r="E17" s="1181" t="s">
        <v>820</v>
      </c>
      <c r="F17" s="1177" t="s">
        <v>821</v>
      </c>
      <c r="G17" s="1044"/>
      <c r="H17" s="333"/>
      <c r="I17" s="1044"/>
      <c r="J17" s="333"/>
      <c r="K17" s="516"/>
      <c r="L17" s="947"/>
      <c r="X17" s="985">
        <v>0</v>
      </c>
    </row>
    <row s="11160" customFormat="1" customHeight="1" ht="33.75" hidden="1">
      <c r="A18" s="2619"/>
      <c r="B18" s="738"/>
      <c r="D18" s="1180" t="s">
        <v>336</v>
      </c>
      <c r="E18" s="1181" t="s">
        <v>822</v>
      </c>
      <c r="F18" s="1177" t="s">
        <v>573</v>
      </c>
      <c r="G18" s="907"/>
      <c r="H18" s="333"/>
      <c r="I18" s="907"/>
      <c r="J18" s="333"/>
      <c r="K18" s="516"/>
      <c r="L18" s="947"/>
      <c r="X18" s="985">
        <v>0</v>
      </c>
    </row>
    <row customHeight="1" ht="101.25" hidden="1">
      <c r="A19" s="2619"/>
      <c r="D19" s="1180" t="s">
        <v>90</v>
      </c>
      <c r="E19" s="506" t="s">
        <v>823</v>
      </c>
      <c r="F19" s="887" t="s">
        <v>548</v>
      </c>
      <c r="G19" s="890"/>
      <c r="H19" s="889"/>
      <c r="I19" s="1182"/>
      <c r="J19" s="889"/>
      <c r="K19" s="516" t="s">
        <v>824</v>
      </c>
      <c r="L19" s="947"/>
      <c r="X19" s="732">
        <v>0</v>
      </c>
    </row>
    <row s="11160" customFormat="1" customHeight="1" ht="18.75" hidden="1">
      <c r="A20" s="2619"/>
      <c r="C20" s="1183"/>
      <c r="D20" s="1180" t="s">
        <v>755</v>
      </c>
      <c r="E20" s="1181" t="s">
        <v>825</v>
      </c>
      <c r="F20" s="1177" t="s">
        <v>308</v>
      </c>
      <c r="G20" s="1177" t="s">
        <v>308</v>
      </c>
      <c r="H20" s="1176" t="s">
        <v>308</v>
      </c>
      <c r="I20" s="1177" t="s">
        <v>308</v>
      </c>
      <c r="J20" s="1176" t="s">
        <v>308</v>
      </c>
      <c r="K20" s="1175"/>
      <c r="L20" s="947"/>
      <c r="W20" s="902"/>
      <c r="X20" s="985">
        <v>0</v>
      </c>
    </row>
    <row s="11160" customFormat="1" customHeight="1" ht="33.75" hidden="1">
      <c r="A21" s="2619"/>
      <c r="C21" s="1183"/>
      <c r="D21" s="1180" t="s">
        <v>758</v>
      </c>
      <c r="E21" s="803" t="s">
        <v>826</v>
      </c>
      <c r="F21" s="1177" t="s">
        <v>827</v>
      </c>
      <c r="G21" s="907"/>
      <c r="H21" s="333"/>
      <c r="I21" s="907"/>
      <c r="J21" s="333"/>
      <c r="K21" s="1175"/>
      <c r="L21" s="947"/>
      <c r="W21" s="902"/>
      <c r="X21" s="985">
        <v>0</v>
      </c>
    </row>
    <row s="11160" customFormat="1" customHeight="1" ht="33.75" hidden="1">
      <c r="A22" s="2619"/>
      <c r="C22" s="1183"/>
      <c r="D22" s="1180" t="s">
        <v>761</v>
      </c>
      <c r="E22" s="803" t="s">
        <v>828</v>
      </c>
      <c r="F22" s="1177" t="s">
        <v>829</v>
      </c>
      <c r="G22" s="907"/>
      <c r="H22" s="333"/>
      <c r="I22" s="907"/>
      <c r="J22" s="333"/>
      <c r="K22" s="1175"/>
      <c r="L22" s="947"/>
      <c r="W22" s="902"/>
      <c r="X22" s="985">
        <v>0</v>
      </c>
    </row>
    <row s="11160" customFormat="1" customHeight="1" ht="22.5" hidden="1">
      <c r="A23" s="2619"/>
      <c r="C23" s="1183"/>
      <c r="D23" s="1180" t="s">
        <v>797</v>
      </c>
      <c r="E23" s="1181" t="s">
        <v>830</v>
      </c>
      <c r="F23" s="1177" t="s">
        <v>308</v>
      </c>
      <c r="G23" s="1177" t="s">
        <v>308</v>
      </c>
      <c r="H23" s="1176" t="s">
        <v>308</v>
      </c>
      <c r="I23" s="1177" t="s">
        <v>308</v>
      </c>
      <c r="J23" s="1176" t="s">
        <v>308</v>
      </c>
      <c r="K23" s="1175"/>
      <c r="L23" s="947"/>
      <c r="W23" s="902"/>
      <c r="X23" s="985">
        <v>0</v>
      </c>
    </row>
    <row s="11160" customFormat="1" customHeight="1" ht="22.5" hidden="1">
      <c r="A24" s="2619"/>
      <c r="C24" s="1183"/>
      <c r="D24" s="1180" t="s">
        <v>831</v>
      </c>
      <c r="E24" s="803" t="s">
        <v>832</v>
      </c>
      <c r="F24" s="1177" t="s">
        <v>833</v>
      </c>
      <c r="G24" s="907"/>
      <c r="H24" s="913"/>
      <c r="I24" s="907"/>
      <c r="J24" s="913"/>
      <c r="K24" s="1175"/>
      <c r="L24" s="947"/>
      <c r="W24" s="902"/>
      <c r="X24" s="985">
        <v>0</v>
      </c>
    </row>
    <row s="11160" customFormat="1" customHeight="1" ht="22.5" hidden="1">
      <c r="A25" s="2619"/>
      <c r="C25" s="1183"/>
      <c r="D25" s="1180" t="s">
        <v>834</v>
      </c>
      <c r="E25" s="803" t="s">
        <v>835</v>
      </c>
      <c r="F25" s="1177" t="s">
        <v>308</v>
      </c>
      <c r="G25" s="1177" t="s">
        <v>308</v>
      </c>
      <c r="H25" s="1176" t="s">
        <v>308</v>
      </c>
      <c r="I25" s="1177" t="s">
        <v>308</v>
      </c>
      <c r="J25" s="1176" t="s">
        <v>308</v>
      </c>
      <c r="K25" s="1175"/>
      <c r="L25" s="947"/>
      <c r="W25" s="902"/>
      <c r="X25" s="985">
        <v>0</v>
      </c>
    </row>
    <row s="11160" customFormat="1" customHeight="1" ht="18.75" hidden="1">
      <c r="A26" s="2619"/>
      <c r="C26" s="1183"/>
      <c r="D26" s="1180" t="s">
        <v>836</v>
      </c>
      <c r="E26" s="780" t="s">
        <v>837</v>
      </c>
      <c r="F26" s="1177" t="s">
        <v>838</v>
      </c>
      <c r="G26" s="907"/>
      <c r="H26" s="913"/>
      <c r="I26" s="907"/>
      <c r="J26" s="913"/>
      <c r="K26" s="1175"/>
      <c r="L26" s="947"/>
      <c r="W26" s="902"/>
      <c r="X26" s="985">
        <v>0</v>
      </c>
    </row>
    <row s="11160" customFormat="1" customHeight="1" ht="18.75" hidden="1">
      <c r="A27" s="2619"/>
      <c r="C27" s="1183"/>
      <c r="D27" s="1180" t="s">
        <v>839</v>
      </c>
      <c r="E27" s="780" t="s">
        <v>840</v>
      </c>
      <c r="F27" s="1177" t="s">
        <v>841</v>
      </c>
      <c r="G27" s="907"/>
      <c r="H27" s="913"/>
      <c r="I27" s="907"/>
      <c r="J27" s="913"/>
      <c r="K27" s="1175"/>
      <c r="L27" s="947"/>
      <c r="W27" s="902"/>
      <c r="X27" s="985">
        <v>0</v>
      </c>
    </row>
    <row s="11160" customFormat="1" customHeight="1" ht="18.75" hidden="1">
      <c r="A28" s="2619"/>
      <c r="C28" s="1183"/>
      <c r="D28" s="1180" t="s">
        <v>842</v>
      </c>
      <c r="E28" s="803" t="s">
        <v>843</v>
      </c>
      <c r="F28" s="1177" t="s">
        <v>308</v>
      </c>
      <c r="G28" s="1177" t="s">
        <v>308</v>
      </c>
      <c r="H28" s="1176" t="s">
        <v>308</v>
      </c>
      <c r="I28" s="1177" t="s">
        <v>308</v>
      </c>
      <c r="J28" s="1176" t="s">
        <v>308</v>
      </c>
      <c r="K28" s="1175"/>
      <c r="L28" s="947"/>
      <c r="W28" s="902"/>
      <c r="X28" s="985">
        <v>0</v>
      </c>
    </row>
    <row s="11160" customFormat="1" customHeight="1" ht="18.75" hidden="1">
      <c r="A29" s="2619"/>
      <c r="C29" s="1183"/>
      <c r="D29" s="1180" t="s">
        <v>844</v>
      </c>
      <c r="E29" s="780" t="s">
        <v>837</v>
      </c>
      <c r="F29" s="1177" t="s">
        <v>845</v>
      </c>
      <c r="G29" s="907"/>
      <c r="H29" s="913"/>
      <c r="I29" s="907"/>
      <c r="J29" s="913"/>
      <c r="K29" s="1175"/>
      <c r="L29" s="947"/>
      <c r="W29" s="902"/>
      <c r="X29" s="985">
        <v>0</v>
      </c>
    </row>
    <row s="11160" customFormat="1" customHeight="1" ht="18.75" hidden="1">
      <c r="A30" s="2619"/>
      <c r="C30" s="1183"/>
      <c r="D30" s="1180" t="s">
        <v>846</v>
      </c>
      <c r="E30" s="780" t="s">
        <v>847</v>
      </c>
      <c r="F30" s="1177" t="s">
        <v>848</v>
      </c>
      <c r="G30" s="907"/>
      <c r="H30" s="913"/>
      <c r="I30" s="907"/>
      <c r="J30" s="913"/>
      <c r="K30" s="1175"/>
      <c r="L30" s="947"/>
      <c r="W30" s="902"/>
      <c r="X30" s="985">
        <v>0</v>
      </c>
    </row>
    <row customHeight="1" ht="126.75" hidden="1">
      <c r="A31" s="2619"/>
      <c r="D31" s="1180" t="s">
        <v>110</v>
      </c>
      <c r="E31" s="506" t="s">
        <v>849</v>
      </c>
      <c r="F31" s="887" t="s">
        <v>560</v>
      </c>
      <c r="G31" s="784"/>
      <c r="H31" s="889"/>
      <c r="I31" s="784"/>
      <c r="J31" s="889"/>
      <c r="K31" s="516" t="s">
        <v>850</v>
      </c>
      <c r="L31" s="947"/>
      <c r="X31" s="732">
        <v>0</v>
      </c>
    </row>
    <row customHeight="1" ht="56.25" hidden="1">
      <c r="A32" s="2619"/>
      <c r="D32" s="1180" t="s">
        <v>91</v>
      </c>
      <c r="E32" s="506" t="s">
        <v>851</v>
      </c>
      <c r="F32" s="766" t="s">
        <v>821</v>
      </c>
      <c r="G32" s="784"/>
      <c r="H32" s="889"/>
      <c r="I32" s="784"/>
      <c r="J32" s="889"/>
      <c r="K32" s="516" t="s">
        <v>852</v>
      </c>
      <c r="L32" s="947"/>
      <c r="X32" s="732">
        <v>0</v>
      </c>
    </row>
    <row customHeight="1" ht="11.25" hidden="1">
      <c r="A33" s="2619"/>
      <c r="E33" s="891"/>
      <c r="F33" s="408"/>
      <c r="G33" s="408"/>
      <c r="H33" s="408"/>
      <c r="I33" s="408"/>
      <c r="J33" s="408"/>
      <c r="K33" s="408"/>
      <c r="X33" s="732">
        <v>0</v>
      </c>
    </row>
    <row customHeight="1" ht="12.75" hidden="1">
      <c r="A34" s="2619"/>
      <c r="D34" s="292">
        <v>1</v>
      </c>
      <c r="E34" s="562" t="s">
        <v>853</v>
      </c>
      <c r="X34" s="732">
        <v>0</v>
      </c>
    </row>
    <row customHeight="1" ht="11.25" hidden="1">
      <c r="A35" s="2619"/>
      <c r="D35" s="596"/>
      <c r="E35" s="562" t="s">
        <v>854</v>
      </c>
      <c r="X35" s="732">
        <v>0</v>
      </c>
    </row>
    <row s="11160" customFormat="1" customHeight="1" ht="11.549999999999999">
      <c r="A36" s="1260"/>
      <c r="B36" s="745"/>
      <c r="D36" s="1261"/>
      <c r="E36" s="1262"/>
      <c r="X36" s="736">
        <v>11</v>
      </c>
    </row>
    <row s="11160" customFormat="1" customHeight="1" ht="22.5" hidden="1">
      <c r="A37" s="2619" t="s">
        <v>855</v>
      </c>
      <c r="B37" s="738"/>
      <c r="D37" s="1180">
        <v>1</v>
      </c>
      <c r="E37" s="934" t="s">
        <v>856</v>
      </c>
      <c r="F37" s="887" t="s">
        <v>811</v>
      </c>
      <c r="G37" s="784"/>
      <c r="H37" s="746"/>
      <c r="I37" s="784"/>
      <c r="J37" s="746"/>
      <c r="K37" s="516" t="s">
        <v>857</v>
      </c>
      <c r="X37" s="985">
        <v>0</v>
      </c>
    </row>
    <row s="11160" customFormat="1" customHeight="1" ht="22.5" hidden="1">
      <c r="A38" s="2619"/>
      <c r="B38" s="738"/>
      <c r="D38" s="896" t="s">
        <v>109</v>
      </c>
      <c r="E38" s="1259" t="s">
        <v>858</v>
      </c>
      <c r="F38" s="1263" t="s">
        <v>548</v>
      </c>
      <c r="G38" s="1263" t="s">
        <v>548</v>
      </c>
      <c r="H38" s="1257"/>
      <c r="I38" s="1263" t="s">
        <v>548</v>
      </c>
      <c r="J38" s="1257"/>
      <c r="K38" s="1258"/>
      <c r="X38" s="985">
        <v>0</v>
      </c>
    </row>
    <row s="11160" customFormat="1" customHeight="1" ht="33.75" hidden="1">
      <c r="A39" s="2619"/>
      <c r="B39" s="738"/>
      <c r="D39" s="892" t="s">
        <v>713</v>
      </c>
      <c r="E39" s="950" t="s">
        <v>859</v>
      </c>
      <c r="F39" s="887" t="s">
        <v>860</v>
      </c>
      <c r="G39" s="895"/>
      <c r="H39" s="1250"/>
      <c r="I39" s="895"/>
      <c r="J39" s="1250"/>
      <c r="K39" s="516" t="s">
        <v>861</v>
      </c>
      <c r="X39" s="985">
        <v>0</v>
      </c>
    </row>
    <row s="11160" customFormat="1" customHeight="1" ht="33.75" hidden="1">
      <c r="A40" s="2619"/>
      <c r="B40" s="738"/>
      <c r="D40" s="892" t="s">
        <v>716</v>
      </c>
      <c r="E40" s="950" t="s">
        <v>862</v>
      </c>
      <c r="F40" s="1254" t="s">
        <v>863</v>
      </c>
      <c r="G40" s="968"/>
      <c r="H40" s="1250"/>
      <c r="I40" s="968"/>
      <c r="J40" s="1250"/>
      <c r="K40" s="516" t="s">
        <v>864</v>
      </c>
      <c r="X40" s="985">
        <v>0</v>
      </c>
    </row>
    <row s="11160" customFormat="1" customHeight="1" ht="22.5" hidden="1">
      <c r="A41" s="2619"/>
      <c r="B41" s="738"/>
      <c r="D41" s="892" t="s">
        <v>89</v>
      </c>
      <c r="E41" s="949" t="s">
        <v>865</v>
      </c>
      <c r="F41" s="887" t="s">
        <v>548</v>
      </c>
      <c r="G41" s="887" t="s">
        <v>548</v>
      </c>
      <c r="H41" s="1251"/>
      <c r="I41" s="887" t="s">
        <v>548</v>
      </c>
      <c r="J41" s="1251"/>
      <c r="K41" s="529"/>
      <c r="X41" s="985">
        <v>0</v>
      </c>
    </row>
    <row s="11160" customFormat="1" customHeight="1" ht="45" hidden="1">
      <c r="A42" s="2619"/>
      <c r="B42" s="738"/>
      <c r="D42" s="892" t="s">
        <v>326</v>
      </c>
      <c r="E42" s="950" t="s">
        <v>866</v>
      </c>
      <c r="F42" s="887" t="s">
        <v>560</v>
      </c>
      <c r="G42" s="784"/>
      <c r="H42" s="1251"/>
      <c r="I42" s="784"/>
      <c r="J42" s="1251"/>
      <c r="K42" s="529" t="s">
        <v>867</v>
      </c>
      <c r="X42" s="985">
        <v>0</v>
      </c>
    </row>
    <row s="11160" customFormat="1" customHeight="1" ht="45" hidden="1">
      <c r="A43" s="2619"/>
      <c r="B43" s="738"/>
      <c r="D43" s="892" t="s">
        <v>334</v>
      </c>
      <c r="E43" s="894" t="s">
        <v>868</v>
      </c>
      <c r="F43" s="1255" t="s">
        <v>560</v>
      </c>
      <c r="G43" s="969"/>
      <c r="H43" s="1250"/>
      <c r="I43" s="969"/>
      <c r="J43" s="1250"/>
      <c r="K43" s="529" t="s">
        <v>869</v>
      </c>
      <c r="X43" s="985">
        <v>0</v>
      </c>
    </row>
    <row s="11160" customFormat="1" customHeight="1" ht="11.25" hidden="1">
      <c r="A44" s="2619"/>
      <c r="B44" s="738"/>
      <c r="D44" s="892" t="s">
        <v>90</v>
      </c>
      <c r="E44" s="893" t="s">
        <v>870</v>
      </c>
      <c r="F44" s="887" t="s">
        <v>860</v>
      </c>
      <c r="G44" s="895"/>
      <c r="H44" s="1250"/>
      <c r="I44" s="895"/>
      <c r="J44" s="1250"/>
      <c r="K44" s="516"/>
      <c r="X44" s="985">
        <v>0</v>
      </c>
    </row>
    <row s="11160" customFormat="1" customHeight="1" ht="11.25" hidden="1">
      <c r="A45" s="2619"/>
      <c r="B45" s="738"/>
      <c r="D45" s="892" t="s">
        <v>755</v>
      </c>
      <c r="E45" s="894" t="s">
        <v>871</v>
      </c>
      <c r="F45" s="887" t="s">
        <v>860</v>
      </c>
      <c r="G45" s="895"/>
      <c r="H45" s="1250"/>
      <c r="I45" s="895"/>
      <c r="J45" s="1250"/>
      <c r="K45" s="516"/>
      <c r="X45" s="985">
        <v>0</v>
      </c>
    </row>
    <row s="11160" customFormat="1" customHeight="1" ht="11.25" hidden="1">
      <c r="A46" s="2619"/>
      <c r="B46" s="738"/>
      <c r="D46" s="892" t="s">
        <v>797</v>
      </c>
      <c r="E46" s="894" t="s">
        <v>872</v>
      </c>
      <c r="F46" s="887" t="s">
        <v>860</v>
      </c>
      <c r="G46" s="895"/>
      <c r="H46" s="1250"/>
      <c r="I46" s="895"/>
      <c r="J46" s="1250"/>
      <c r="K46" s="516"/>
      <c r="X46" s="985">
        <v>0</v>
      </c>
    </row>
    <row s="11160" customFormat="1" customHeight="1" ht="11.25" hidden="1">
      <c r="A47" s="2619"/>
      <c r="B47" s="738"/>
      <c r="D47" s="892" t="s">
        <v>800</v>
      </c>
      <c r="E47" s="894" t="s">
        <v>873</v>
      </c>
      <c r="F47" s="887" t="s">
        <v>860</v>
      </c>
      <c r="G47" s="895"/>
      <c r="H47" s="1250"/>
      <c r="I47" s="895"/>
      <c r="J47" s="1250"/>
      <c r="K47" s="516"/>
      <c r="X47" s="985">
        <v>0</v>
      </c>
    </row>
    <row s="11160" customFormat="1" customHeight="1" ht="11.25" hidden="1">
      <c r="A48" s="2619"/>
      <c r="B48" s="738"/>
      <c r="D48" s="892" t="s">
        <v>874</v>
      </c>
      <c r="E48" s="898" t="s">
        <v>875</v>
      </c>
      <c r="F48" s="887" t="s">
        <v>860</v>
      </c>
      <c r="G48" s="895"/>
      <c r="H48" s="1250"/>
      <c r="I48" s="895"/>
      <c r="J48" s="1250"/>
      <c r="K48" s="516"/>
      <c r="X48" s="985">
        <v>0</v>
      </c>
    </row>
    <row s="11160" customFormat="1" customHeight="1" ht="11.25" hidden="1">
      <c r="A49" s="2619"/>
      <c r="B49" s="738"/>
      <c r="D49" s="892" t="s">
        <v>876</v>
      </c>
      <c r="E49" s="898" t="s">
        <v>877</v>
      </c>
      <c r="F49" s="887" t="s">
        <v>860</v>
      </c>
      <c r="G49" s="895"/>
      <c r="H49" s="1250"/>
      <c r="I49" s="895"/>
      <c r="J49" s="1250"/>
      <c r="K49" s="516"/>
      <c r="X49" s="985">
        <v>0</v>
      </c>
    </row>
    <row s="11160" customFormat="1" customHeight="1" ht="11.25" hidden="1">
      <c r="A50" s="2619"/>
      <c r="B50" s="738"/>
      <c r="D50" s="892" t="s">
        <v>878</v>
      </c>
      <c r="E50" s="894" t="s">
        <v>879</v>
      </c>
      <c r="F50" s="887" t="s">
        <v>860</v>
      </c>
      <c r="G50" s="895"/>
      <c r="H50" s="1250"/>
      <c r="I50" s="895"/>
      <c r="J50" s="1250"/>
      <c r="K50" s="516"/>
      <c r="X50" s="985">
        <v>0</v>
      </c>
    </row>
    <row s="11160" customFormat="1" customHeight="1" ht="11.25" hidden="1">
      <c r="A51" s="2619"/>
      <c r="B51" s="738"/>
      <c r="D51" s="892" t="s">
        <v>880</v>
      </c>
      <c r="E51" s="894" t="s">
        <v>881</v>
      </c>
      <c r="F51" s="887" t="s">
        <v>860</v>
      </c>
      <c r="G51" s="895"/>
      <c r="H51" s="1250"/>
      <c r="I51" s="895"/>
      <c r="J51" s="1250"/>
      <c r="K51" s="516"/>
      <c r="X51" s="985">
        <v>0</v>
      </c>
    </row>
    <row s="11160" customFormat="1" customHeight="1" ht="45" hidden="1">
      <c r="A52" s="2619"/>
      <c r="B52" s="738"/>
      <c r="D52" s="892" t="s">
        <v>110</v>
      </c>
      <c r="E52" s="893" t="s">
        <v>882</v>
      </c>
      <c r="F52" s="887" t="s">
        <v>860</v>
      </c>
      <c r="G52" s="895"/>
      <c r="H52" s="1250"/>
      <c r="I52" s="895"/>
      <c r="J52" s="1250"/>
      <c r="K52" s="516"/>
      <c r="X52" s="985">
        <v>0</v>
      </c>
    </row>
    <row s="11160" customFormat="1" customHeight="1" ht="11.25" hidden="1">
      <c r="A53" s="2619"/>
      <c r="B53" s="738"/>
      <c r="D53" s="892" t="s">
        <v>315</v>
      </c>
      <c r="E53" s="894" t="s">
        <v>871</v>
      </c>
      <c r="F53" s="887" t="s">
        <v>860</v>
      </c>
      <c r="G53" s="895"/>
      <c r="H53" s="1250"/>
      <c r="I53" s="895"/>
      <c r="J53" s="1250"/>
      <c r="K53" s="516"/>
      <c r="X53" s="985">
        <v>0</v>
      </c>
    </row>
    <row s="11160" customFormat="1" customHeight="1" ht="11.25" hidden="1">
      <c r="A54" s="2619"/>
      <c r="B54" s="738"/>
      <c r="D54" s="892" t="s">
        <v>883</v>
      </c>
      <c r="E54" s="894" t="s">
        <v>872</v>
      </c>
      <c r="F54" s="887" t="s">
        <v>860</v>
      </c>
      <c r="G54" s="895"/>
      <c r="H54" s="1250"/>
      <c r="I54" s="895"/>
      <c r="J54" s="1250"/>
      <c r="K54" s="516"/>
      <c r="X54" s="985">
        <v>0</v>
      </c>
    </row>
    <row s="11160" customFormat="1" customHeight="1" ht="11.25" hidden="1">
      <c r="A55" s="2619"/>
      <c r="B55" s="738"/>
      <c r="D55" s="892" t="s">
        <v>884</v>
      </c>
      <c r="E55" s="894" t="s">
        <v>873</v>
      </c>
      <c r="F55" s="887" t="s">
        <v>860</v>
      </c>
      <c r="G55" s="895"/>
      <c r="H55" s="1250"/>
      <c r="I55" s="895"/>
      <c r="J55" s="1250"/>
      <c r="K55" s="516"/>
      <c r="X55" s="985">
        <v>0</v>
      </c>
    </row>
    <row s="11160" customFormat="1" customHeight="1" ht="11.25" hidden="1">
      <c r="A56" s="2619"/>
      <c r="B56" s="738"/>
      <c r="D56" s="892" t="s">
        <v>885</v>
      </c>
      <c r="E56" s="898" t="s">
        <v>875</v>
      </c>
      <c r="F56" s="887" t="s">
        <v>860</v>
      </c>
      <c r="G56" s="895"/>
      <c r="H56" s="1250"/>
      <c r="I56" s="895"/>
      <c r="J56" s="1250"/>
      <c r="K56" s="516"/>
      <c r="X56" s="985">
        <v>0</v>
      </c>
    </row>
    <row s="11160" customFormat="1" customHeight="1" ht="11.25" hidden="1">
      <c r="A57" s="2619"/>
      <c r="B57" s="738"/>
      <c r="D57" s="892" t="s">
        <v>886</v>
      </c>
      <c r="E57" s="898" t="s">
        <v>877</v>
      </c>
      <c r="F57" s="887" t="s">
        <v>860</v>
      </c>
      <c r="G57" s="895"/>
      <c r="H57" s="1250"/>
      <c r="I57" s="895"/>
      <c r="J57" s="1250"/>
      <c r="K57" s="516"/>
      <c r="X57" s="985">
        <v>0</v>
      </c>
    </row>
    <row s="11160" customFormat="1" customHeight="1" ht="11.25" hidden="1">
      <c r="A58" s="2619"/>
      <c r="B58" s="738"/>
      <c r="D58" s="892" t="s">
        <v>887</v>
      </c>
      <c r="E58" s="894" t="s">
        <v>879</v>
      </c>
      <c r="F58" s="887" t="s">
        <v>860</v>
      </c>
      <c r="G58" s="895"/>
      <c r="H58" s="1250"/>
      <c r="I58" s="895"/>
      <c r="J58" s="1250"/>
      <c r="K58" s="516"/>
      <c r="X58" s="985">
        <v>0</v>
      </c>
    </row>
    <row s="11160" customFormat="1" customHeight="1" ht="11.25" hidden="1">
      <c r="A59" s="2619"/>
      <c r="B59" s="738"/>
      <c r="D59" s="892" t="s">
        <v>888</v>
      </c>
      <c r="E59" s="894" t="s">
        <v>881</v>
      </c>
      <c r="F59" s="887" t="s">
        <v>860</v>
      </c>
      <c r="G59" s="895"/>
      <c r="H59" s="1250"/>
      <c r="I59" s="895"/>
      <c r="J59" s="1250"/>
      <c r="K59" s="516"/>
      <c r="X59" s="985">
        <v>0</v>
      </c>
    </row>
    <row s="11160" customFormat="1" customHeight="1" ht="33.75" hidden="1">
      <c r="A60" s="2619"/>
      <c r="B60" s="738"/>
      <c r="D60" s="892" t="s">
        <v>91</v>
      </c>
      <c r="E60" s="893" t="s">
        <v>889</v>
      </c>
      <c r="F60" s="948" t="s">
        <v>560</v>
      </c>
      <c r="G60" s="969"/>
      <c r="H60" s="1250"/>
      <c r="I60" s="969"/>
      <c r="J60" s="1250"/>
      <c r="K60" s="529" t="s">
        <v>890</v>
      </c>
      <c r="X60" s="985">
        <v>0</v>
      </c>
    </row>
    <row s="11160" customFormat="1" customHeight="1" ht="33.75" hidden="1">
      <c r="A61" s="2619"/>
      <c r="B61" s="738"/>
      <c r="D61" s="892" t="s">
        <v>92</v>
      </c>
      <c r="E61" s="893" t="s">
        <v>891</v>
      </c>
      <c r="F61" s="953" t="s">
        <v>821</v>
      </c>
      <c r="G61" s="895"/>
      <c r="H61" s="1250"/>
      <c r="I61" s="895"/>
      <c r="J61" s="1250"/>
      <c r="K61" s="516"/>
      <c r="X61" s="985">
        <v>0</v>
      </c>
    </row>
    <row s="11160" customFormat="1" customHeight="1" ht="22.5" hidden="1">
      <c r="A62" s="2619"/>
      <c r="B62" s="738" t="s">
        <v>590</v>
      </c>
      <c r="D62" s="892" t="s">
        <v>111</v>
      </c>
      <c r="E62" s="893" t="s">
        <v>892</v>
      </c>
      <c r="F62" s="953" t="s">
        <v>308</v>
      </c>
      <c r="G62" s="609"/>
      <c r="H62" s="1250"/>
      <c r="I62" s="609"/>
      <c r="J62" s="1250"/>
      <c r="K62" s="516" t="s">
        <v>633</v>
      </c>
      <c r="X62" s="985">
        <v>0</v>
      </c>
    </row>
    <row s="11160" customFormat="1" customHeight="1" ht="45" hidden="1">
      <c r="A63" s="2619"/>
      <c r="B63" s="738" t="s">
        <v>590</v>
      </c>
      <c r="D63" s="892" t="s">
        <v>893</v>
      </c>
      <c r="E63" s="894" t="s">
        <v>894</v>
      </c>
      <c r="F63" s="948" t="s">
        <v>308</v>
      </c>
      <c r="G63" s="609"/>
      <c r="H63" s="1250"/>
      <c r="I63" s="609"/>
      <c r="J63" s="1250"/>
      <c r="K63" s="516" t="s">
        <v>633</v>
      </c>
      <c r="X63" s="985">
        <v>0</v>
      </c>
    </row>
    <row s="11160" customFormat="1" customHeight="1" ht="11.549999999999999">
      <c r="A64" s="1260"/>
      <c r="B64" s="745"/>
      <c r="D64" s="1261"/>
      <c r="E64" s="1262"/>
      <c r="X64" s="736">
        <v>11</v>
      </c>
    </row>
    <row s="11160" customFormat="1" customHeight="1" ht="22.5">
      <c r="A65" s="2619" t="s">
        <v>895</v>
      </c>
      <c r="B65" s="738"/>
      <c r="D65" s="892">
        <v>1</v>
      </c>
      <c r="E65" s="971" t="s">
        <v>896</v>
      </c>
      <c r="F65" s="967" t="s">
        <v>811</v>
      </c>
      <c r="G65" s="968"/>
      <c r="H65" s="1256"/>
      <c r="I65" s="968"/>
      <c r="J65" s="1256"/>
      <c r="K65" s="528" t="s">
        <v>897</v>
      </c>
      <c r="X65" s="985">
        <v>0</v>
      </c>
    </row>
    <row s="11160" customFormat="1" customHeight="1" ht="56.25">
      <c r="A66" s="2619"/>
      <c r="B66" s="738"/>
      <c r="D66" s="970" t="s">
        <v>109</v>
      </c>
      <c r="E66" s="934" t="s">
        <v>898</v>
      </c>
      <c r="F66" s="887" t="s">
        <v>548</v>
      </c>
      <c r="G66" s="887" t="s">
        <v>548</v>
      </c>
      <c r="H66" s="746"/>
      <c r="I66" s="887" t="s">
        <v>548</v>
      </c>
      <c r="J66" s="746"/>
      <c r="K66" s="516"/>
      <c r="X66" s="985">
        <v>0</v>
      </c>
    </row>
    <row s="11160" customFormat="1" customHeight="1" ht="33.75">
      <c r="A67" s="2619"/>
      <c r="B67" s="738"/>
      <c r="D67" s="970" t="s">
        <v>710</v>
      </c>
      <c r="E67" s="1181" t="s">
        <v>899</v>
      </c>
      <c r="F67" s="887" t="s">
        <v>863</v>
      </c>
      <c r="G67" s="954"/>
      <c r="H67" s="746"/>
      <c r="I67" s="954"/>
      <c r="J67" s="746"/>
      <c r="K67" s="516"/>
      <c r="X67" s="985">
        <v>0</v>
      </c>
    </row>
    <row s="11160" customFormat="1" customHeight="1" ht="22.5">
      <c r="A68" s="2619"/>
      <c r="B68" s="738"/>
      <c r="D68" s="970" t="s">
        <v>309</v>
      </c>
      <c r="E68" s="1181" t="s">
        <v>900</v>
      </c>
      <c r="F68" s="887" t="s">
        <v>863</v>
      </c>
      <c r="G68" s="954"/>
      <c r="H68" s="746"/>
      <c r="I68" s="954"/>
      <c r="J68" s="746"/>
      <c r="K68" s="516"/>
      <c r="X68" s="985">
        <v>0</v>
      </c>
    </row>
    <row s="11160" customFormat="1" customHeight="1" ht="22.5">
      <c r="A69" s="2619"/>
      <c r="B69" s="738"/>
      <c r="D69" s="970" t="s">
        <v>312</v>
      </c>
      <c r="E69" s="1181" t="s">
        <v>901</v>
      </c>
      <c r="F69" s="948" t="s">
        <v>560</v>
      </c>
      <c r="G69" s="969"/>
      <c r="H69" s="746"/>
      <c r="I69" s="969"/>
      <c r="J69" s="746"/>
      <c r="K69" s="516"/>
      <c r="X69" s="985">
        <v>0</v>
      </c>
    </row>
    <row s="11160" customFormat="1" customHeight="1" ht="22.5">
      <c r="A70" s="2619"/>
      <c r="B70" s="738"/>
      <c r="D70" s="970" t="s">
        <v>730</v>
      </c>
      <c r="E70" s="1181" t="s">
        <v>902</v>
      </c>
      <c r="F70" s="948" t="s">
        <v>560</v>
      </c>
      <c r="G70" s="969"/>
      <c r="H70" s="746"/>
      <c r="I70" s="969"/>
      <c r="J70" s="746"/>
      <c r="K70" s="516"/>
      <c r="X70" s="985">
        <v>0</v>
      </c>
    </row>
    <row s="11160" customFormat="1" customHeight="1" ht="22.5">
      <c r="A71" s="2619"/>
      <c r="B71" s="738"/>
      <c r="D71" s="892" t="s">
        <v>89</v>
      </c>
      <c r="E71" s="893" t="s">
        <v>903</v>
      </c>
      <c r="F71" s="887" t="s">
        <v>863</v>
      </c>
      <c r="G71" s="784"/>
      <c r="H71" s="1257"/>
      <c r="I71" s="784"/>
      <c r="J71" s="1257"/>
      <c r="K71" s="529"/>
      <c r="X71" s="985">
        <v>0</v>
      </c>
    </row>
    <row s="11160" customFormat="1" customHeight="1" ht="56.25">
      <c r="A72" s="2619"/>
      <c r="B72" s="738"/>
      <c r="D72" s="892" t="s">
        <v>90</v>
      </c>
      <c r="E72" s="893" t="s">
        <v>904</v>
      </c>
      <c r="F72" s="948" t="s">
        <v>560</v>
      </c>
      <c r="G72" s="969"/>
      <c r="H72" s="1250"/>
      <c r="I72" s="969"/>
      <c r="J72" s="1250"/>
      <c r="K72" s="529"/>
      <c r="X72" s="985">
        <v>0</v>
      </c>
    </row>
    <row s="11160" customFormat="1" customHeight="1" ht="33.75">
      <c r="A73" s="2619"/>
      <c r="B73" s="738"/>
      <c r="D73" s="892" t="s">
        <v>110</v>
      </c>
      <c r="E73" s="893" t="s">
        <v>905</v>
      </c>
      <c r="F73" s="953" t="s">
        <v>821</v>
      </c>
      <c r="G73" s="895"/>
      <c r="H73" s="1250"/>
      <c r="I73" s="895"/>
      <c r="J73" s="1250"/>
      <c r="K73" s="516"/>
      <c r="X73" s="985">
        <v>0</v>
      </c>
    </row>
    <row s="11160" customFormat="1" customHeight="1" ht="22.5">
      <c r="A74" s="2619"/>
      <c r="B74" s="738" t="s">
        <v>590</v>
      </c>
      <c r="D74" s="892" t="s">
        <v>91</v>
      </c>
      <c r="E74" s="893" t="s">
        <v>906</v>
      </c>
      <c r="F74" s="953" t="s">
        <v>308</v>
      </c>
      <c r="G74" s="609"/>
      <c r="H74" s="1250"/>
      <c r="I74" s="609"/>
      <c r="J74" s="1250"/>
      <c r="K74" s="516" t="s">
        <v>633</v>
      </c>
      <c r="X74" s="985">
        <v>0</v>
      </c>
    </row>
    <row s="11160" customFormat="1" customHeight="1" ht="45">
      <c r="A75" s="2619"/>
      <c r="B75" s="738" t="s">
        <v>590</v>
      </c>
      <c r="D75" s="892" t="s">
        <v>654</v>
      </c>
      <c r="E75" s="894" t="s">
        <v>907</v>
      </c>
      <c r="F75" s="948" t="s">
        <v>308</v>
      </c>
      <c r="G75" s="609"/>
      <c r="H75" s="1250"/>
      <c r="I75" s="609"/>
      <c r="J75" s="1250"/>
      <c r="K75" s="516" t="s">
        <v>633</v>
      </c>
      <c r="X75" s="985">
        <v>0</v>
      </c>
    </row>
    <row s="11160" customFormat="1" customHeight="1" ht="11.549999999999999">
      <c r="A76" s="1260"/>
      <c r="B76" s="745"/>
      <c r="D76" s="1261"/>
      <c r="E76" s="1262"/>
      <c r="X76" s="736">
        <v>11</v>
      </c>
    </row>
    <row s="11160" customFormat="1" customHeight="1" ht="11.25" hidden="1">
      <c r="A77" s="2619" t="s">
        <v>908</v>
      </c>
      <c r="B77" s="738"/>
      <c r="D77" s="892">
        <v>1</v>
      </c>
      <c r="E77" s="893" t="s">
        <v>909</v>
      </c>
      <c r="F77" s="948" t="s">
        <v>811</v>
      </c>
      <c r="G77" s="951"/>
      <c r="H77" s="1250"/>
      <c r="I77" s="951"/>
      <c r="J77" s="1250"/>
      <c r="K77" s="516" t="s">
        <v>910</v>
      </c>
      <c r="X77" s="985">
        <v>0</v>
      </c>
    </row>
    <row s="11160" customFormat="1" customHeight="1" ht="11.25" hidden="1">
      <c r="A78" s="2619"/>
      <c r="B78" s="738"/>
      <c r="D78" s="892" t="s">
        <v>109</v>
      </c>
      <c r="E78" s="893" t="s">
        <v>911</v>
      </c>
      <c r="F78" s="948" t="s">
        <v>811</v>
      </c>
      <c r="G78" s="951"/>
      <c r="H78" s="1250"/>
      <c r="I78" s="951"/>
      <c r="J78" s="1250"/>
      <c r="K78" s="516" t="s">
        <v>912</v>
      </c>
      <c r="X78" s="985">
        <v>0</v>
      </c>
    </row>
    <row s="11160" customFormat="1" customHeight="1" ht="22.5" hidden="1">
      <c r="A79" s="2619"/>
      <c r="B79" s="738"/>
      <c r="D79" s="892" t="s">
        <v>89</v>
      </c>
      <c r="E79" s="949" t="s">
        <v>913</v>
      </c>
      <c r="F79" s="887" t="s">
        <v>860</v>
      </c>
      <c r="G79" s="951"/>
      <c r="H79" s="1250"/>
      <c r="I79" s="951"/>
      <c r="J79" s="1250"/>
      <c r="K79" s="516" t="s">
        <v>914</v>
      </c>
      <c r="X79" s="985">
        <v>0</v>
      </c>
    </row>
    <row s="11160" customFormat="1" customHeight="1" ht="11.25" hidden="1">
      <c r="A80" s="2619"/>
      <c r="B80" s="738"/>
      <c r="D80" s="892" t="s">
        <v>326</v>
      </c>
      <c r="E80" s="950" t="s">
        <v>915</v>
      </c>
      <c r="F80" s="887" t="s">
        <v>860</v>
      </c>
      <c r="G80" s="951"/>
      <c r="H80" s="1250"/>
      <c r="I80" s="951"/>
      <c r="J80" s="1250"/>
      <c r="K80" s="516"/>
      <c r="X80" s="985">
        <v>0</v>
      </c>
    </row>
    <row s="11160" customFormat="1" customHeight="1" ht="11.25" hidden="1">
      <c r="A81" s="2619"/>
      <c r="B81" s="738"/>
      <c r="D81" s="892" t="s">
        <v>334</v>
      </c>
      <c r="E81" s="950" t="s">
        <v>916</v>
      </c>
      <c r="F81" s="887" t="s">
        <v>860</v>
      </c>
      <c r="G81" s="951"/>
      <c r="H81" s="1250"/>
      <c r="I81" s="951"/>
      <c r="J81" s="1250"/>
      <c r="K81" s="516"/>
      <c r="X81" s="985">
        <v>0</v>
      </c>
    </row>
    <row s="11160" customFormat="1" customHeight="1" ht="11.25" hidden="1">
      <c r="A82" s="2619"/>
      <c r="B82" s="738"/>
      <c r="D82" s="892" t="s">
        <v>336</v>
      </c>
      <c r="E82" s="950" t="s">
        <v>917</v>
      </c>
      <c r="F82" s="887" t="s">
        <v>860</v>
      </c>
      <c r="G82" s="951"/>
      <c r="H82" s="1250"/>
      <c r="I82" s="951"/>
      <c r="J82" s="1250"/>
      <c r="K82" s="516"/>
      <c r="X82" s="985">
        <v>0</v>
      </c>
    </row>
    <row s="11160" customFormat="1" customHeight="1" ht="11.25" hidden="1">
      <c r="A83" s="2619"/>
      <c r="B83" s="738"/>
      <c r="D83" s="892" t="s">
        <v>338</v>
      </c>
      <c r="E83" s="950" t="s">
        <v>918</v>
      </c>
      <c r="F83" s="887" t="s">
        <v>860</v>
      </c>
      <c r="G83" s="951"/>
      <c r="H83" s="1250"/>
      <c r="I83" s="951"/>
      <c r="J83" s="1250"/>
      <c r="K83" s="516"/>
      <c r="X83" s="985">
        <v>0</v>
      </c>
    </row>
    <row s="11160" customFormat="1" customHeight="1" ht="11.25" hidden="1">
      <c r="A84" s="2619"/>
      <c r="B84" s="738"/>
      <c r="D84" s="892" t="s">
        <v>919</v>
      </c>
      <c r="E84" s="950" t="s">
        <v>920</v>
      </c>
      <c r="F84" s="887" t="s">
        <v>860</v>
      </c>
      <c r="G84" s="951"/>
      <c r="H84" s="1250"/>
      <c r="I84" s="951"/>
      <c r="J84" s="1250"/>
      <c r="K84" s="516"/>
      <c r="X84" s="985">
        <v>0</v>
      </c>
    </row>
    <row s="11160" customFormat="1" customHeight="1" ht="11.25" hidden="1">
      <c r="A85" s="2619"/>
      <c r="B85" s="738"/>
      <c r="D85" s="892" t="s">
        <v>921</v>
      </c>
      <c r="E85" s="950" t="s">
        <v>922</v>
      </c>
      <c r="F85" s="887" t="s">
        <v>860</v>
      </c>
      <c r="G85" s="951"/>
      <c r="H85" s="1250"/>
      <c r="I85" s="951"/>
      <c r="J85" s="1250"/>
      <c r="K85" s="516"/>
      <c r="X85" s="985">
        <v>0</v>
      </c>
    </row>
    <row s="11160" customFormat="1" customHeight="1" ht="11.25" hidden="1">
      <c r="A86" s="2619"/>
      <c r="B86" s="738"/>
      <c r="D86" s="892" t="s">
        <v>923</v>
      </c>
      <c r="E86" s="950" t="s">
        <v>924</v>
      </c>
      <c r="F86" s="887" t="s">
        <v>860</v>
      </c>
      <c r="G86" s="951"/>
      <c r="H86" s="1250"/>
      <c r="I86" s="951"/>
      <c r="J86" s="1250"/>
      <c r="K86" s="516"/>
      <c r="X86" s="985">
        <v>0</v>
      </c>
    </row>
    <row s="11160" customFormat="1" customHeight="1" ht="45" hidden="1">
      <c r="A87" s="2619"/>
      <c r="B87" s="738"/>
      <c r="D87" s="892" t="s">
        <v>90</v>
      </c>
      <c r="E87" s="893" t="s">
        <v>925</v>
      </c>
      <c r="F87" s="887" t="s">
        <v>860</v>
      </c>
      <c r="G87" s="951"/>
      <c r="H87" s="1250"/>
      <c r="I87" s="951"/>
      <c r="J87" s="1250"/>
      <c r="K87" s="516" t="s">
        <v>926</v>
      </c>
      <c r="X87" s="985">
        <v>0</v>
      </c>
    </row>
    <row s="11160" customFormat="1" customHeight="1" ht="11.25" hidden="1">
      <c r="A88" s="2619"/>
      <c r="B88" s="738"/>
      <c r="D88" s="892" t="s">
        <v>755</v>
      </c>
      <c r="E88" s="950" t="s">
        <v>915</v>
      </c>
      <c r="F88" s="887" t="s">
        <v>860</v>
      </c>
      <c r="G88" s="951"/>
      <c r="H88" s="1250"/>
      <c r="I88" s="951"/>
      <c r="J88" s="1250"/>
      <c r="K88" s="516"/>
      <c r="X88" s="985">
        <v>0</v>
      </c>
    </row>
    <row s="11160" customFormat="1" customHeight="1" ht="11.25" hidden="1">
      <c r="A89" s="2619"/>
      <c r="B89" s="738"/>
      <c r="D89" s="892" t="s">
        <v>797</v>
      </c>
      <c r="E89" s="950" t="s">
        <v>916</v>
      </c>
      <c r="F89" s="887" t="s">
        <v>860</v>
      </c>
      <c r="G89" s="951"/>
      <c r="H89" s="1250"/>
      <c r="I89" s="951"/>
      <c r="J89" s="1250"/>
      <c r="K89" s="516"/>
      <c r="X89" s="985">
        <v>0</v>
      </c>
    </row>
    <row s="11160" customFormat="1" customHeight="1" ht="11.25" hidden="1">
      <c r="A90" s="2619"/>
      <c r="B90" s="738"/>
      <c r="D90" s="892" t="s">
        <v>800</v>
      </c>
      <c r="E90" s="950" t="s">
        <v>917</v>
      </c>
      <c r="F90" s="887" t="s">
        <v>860</v>
      </c>
      <c r="G90" s="951"/>
      <c r="H90" s="1250"/>
      <c r="I90" s="951"/>
      <c r="J90" s="1250"/>
      <c r="K90" s="516"/>
      <c r="X90" s="985">
        <v>0</v>
      </c>
    </row>
    <row s="11160" customFormat="1" customHeight="1" ht="11.25" hidden="1">
      <c r="A91" s="2619"/>
      <c r="B91" s="738"/>
      <c r="D91" s="892" t="s">
        <v>878</v>
      </c>
      <c r="E91" s="950" t="s">
        <v>918</v>
      </c>
      <c r="F91" s="887" t="s">
        <v>860</v>
      </c>
      <c r="G91" s="951"/>
      <c r="H91" s="1250"/>
      <c r="I91" s="951"/>
      <c r="J91" s="1250"/>
      <c r="K91" s="516"/>
      <c r="X91" s="985">
        <v>0</v>
      </c>
    </row>
    <row s="11160" customFormat="1" customHeight="1" ht="11.25" hidden="1">
      <c r="A92" s="2619"/>
      <c r="B92" s="738"/>
      <c r="D92" s="892" t="s">
        <v>880</v>
      </c>
      <c r="E92" s="950" t="s">
        <v>920</v>
      </c>
      <c r="F92" s="887" t="s">
        <v>860</v>
      </c>
      <c r="G92" s="951"/>
      <c r="H92" s="1250"/>
      <c r="I92" s="951"/>
      <c r="J92" s="1250"/>
      <c r="K92" s="516"/>
      <c r="X92" s="985">
        <v>0</v>
      </c>
    </row>
    <row s="11160" customFormat="1" customHeight="1" ht="11.25" hidden="1">
      <c r="A93" s="2619"/>
      <c r="B93" s="738"/>
      <c r="D93" s="892" t="s">
        <v>927</v>
      </c>
      <c r="E93" s="950" t="s">
        <v>922</v>
      </c>
      <c r="F93" s="887" t="s">
        <v>860</v>
      </c>
      <c r="G93" s="951"/>
      <c r="H93" s="1250"/>
      <c r="I93" s="951"/>
      <c r="J93" s="1250"/>
      <c r="K93" s="516"/>
      <c r="X93" s="985">
        <v>0</v>
      </c>
    </row>
    <row s="11160" customFormat="1" customHeight="1" ht="11.25" hidden="1">
      <c r="A94" s="2619"/>
      <c r="B94" s="738"/>
      <c r="D94" s="892" t="s">
        <v>928</v>
      </c>
      <c r="E94" s="950" t="s">
        <v>924</v>
      </c>
      <c r="F94" s="887" t="s">
        <v>860</v>
      </c>
      <c r="G94" s="951"/>
      <c r="H94" s="1250"/>
      <c r="I94" s="951"/>
      <c r="J94" s="1250"/>
      <c r="K94" s="516"/>
      <c r="X94" s="985">
        <v>0</v>
      </c>
    </row>
    <row s="11160" customFormat="1" customHeight="1" ht="24.75" hidden="1">
      <c r="A95" s="2619"/>
      <c r="B95" s="738"/>
      <c r="D95" s="892" t="s">
        <v>110</v>
      </c>
      <c r="E95" s="893" t="s">
        <v>929</v>
      </c>
      <c r="F95" s="952" t="s">
        <v>560</v>
      </c>
      <c r="G95" s="954"/>
      <c r="H95" s="1250"/>
      <c r="I95" s="954"/>
      <c r="J95" s="1250"/>
      <c r="K95" s="516" t="s">
        <v>930</v>
      </c>
      <c r="X95" s="985">
        <v>0</v>
      </c>
    </row>
    <row s="11160" customFormat="1" customHeight="1" ht="33.75" hidden="1">
      <c r="A96" s="2619"/>
      <c r="B96" s="738"/>
      <c r="D96" s="892" t="s">
        <v>91</v>
      </c>
      <c r="E96" s="893" t="s">
        <v>931</v>
      </c>
      <c r="F96" s="953" t="s">
        <v>821</v>
      </c>
      <c r="G96" s="955"/>
      <c r="H96" s="1250"/>
      <c r="I96" s="955"/>
      <c r="J96" s="1250"/>
      <c r="K96" s="516"/>
      <c r="X96" s="985">
        <v>0</v>
      </c>
    </row>
    <row s="11160" customFormat="1" customHeight="1" ht="22.5" hidden="1">
      <c r="A97" s="2619"/>
      <c r="B97" s="738" t="s">
        <v>590</v>
      </c>
      <c r="D97" s="892" t="s">
        <v>92</v>
      </c>
      <c r="E97" s="893" t="s">
        <v>932</v>
      </c>
      <c r="F97" s="953" t="s">
        <v>308</v>
      </c>
      <c r="G97" s="612"/>
      <c r="H97" s="1250"/>
      <c r="I97" s="612"/>
      <c r="J97" s="1250"/>
      <c r="K97" s="516" t="s">
        <v>633</v>
      </c>
      <c r="X97" s="985">
        <v>0</v>
      </c>
    </row>
    <row s="11160" customFormat="1" customHeight="1" ht="45" hidden="1">
      <c r="A98" s="2619"/>
      <c r="B98" s="738" t="s">
        <v>590</v>
      </c>
      <c r="D98" s="892" t="s">
        <v>933</v>
      </c>
      <c r="E98" s="894" t="s">
        <v>934</v>
      </c>
      <c r="F98" s="948" t="s">
        <v>308</v>
      </c>
      <c r="G98" s="612"/>
      <c r="H98" s="1250"/>
      <c r="I98" s="612"/>
      <c r="J98" s="1250"/>
      <c r="K98" s="516" t="s">
        <v>633</v>
      </c>
      <c r="X98" s="985">
        <v>0</v>
      </c>
    </row>
    <row s="11160" customFormat="1" customHeight="1" ht="95.25" hidden="1">
      <c r="A99" s="2619"/>
      <c r="B99" s="738" t="s">
        <v>590</v>
      </c>
      <c r="D99" s="892" t="s">
        <v>111</v>
      </c>
      <c r="E99" s="893" t="s">
        <v>935</v>
      </c>
      <c r="F99" s="948" t="s">
        <v>308</v>
      </c>
      <c r="G99" s="612"/>
      <c r="H99" s="1250"/>
      <c r="I99" s="612"/>
      <c r="J99" s="1250"/>
      <c r="K99" s="516" t="s">
        <v>633</v>
      </c>
      <c r="X99" s="985">
        <v>0</v>
      </c>
    </row>
    <row s="11160" customFormat="1" customHeight="1" ht="22.5" hidden="1">
      <c r="A100" s="2619"/>
      <c r="B100" s="738" t="s">
        <v>590</v>
      </c>
      <c r="D100" s="892" t="s">
        <v>147</v>
      </c>
      <c r="E100" s="893" t="s">
        <v>936</v>
      </c>
      <c r="F100" s="948" t="s">
        <v>308</v>
      </c>
      <c r="G100" s="612"/>
      <c r="H100" s="1250"/>
      <c r="I100" s="612"/>
      <c r="J100" s="1250"/>
      <c r="K100" s="516" t="s">
        <v>633</v>
      </c>
      <c r="X100" s="985">
        <v>0</v>
      </c>
    </row>
    <row s="11160"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3E78-5048-620B-FA1E-62DCC898AF1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24" width="9.140625" hidden="1" customWidth="1"/>
    <col min="2" max="2" style="11160" width="9.140625" hidden="1" customWidth="1"/>
    <col min="3" max="3" style="13078" width="4.00390625" customWidth="1"/>
    <col min="4" max="4" style="11160" width="6.00390625" customWidth="1"/>
    <col min="5" max="5" style="11160" width="36.00390625" customWidth="1"/>
    <col min="6" max="6" style="11160" width="9.00390625" customWidth="1"/>
    <col min="7" max="7" style="11160" width="25.7109375" hidden="1" customWidth="1"/>
    <col min="8" max="8" style="11160" width="33.7109375" hidden="1" customWidth="1"/>
    <col min="9" max="9" style="11160" width="25.7109375" customWidth="1"/>
    <col min="10" max="10" style="11160" width="33.00390625" customWidth="1"/>
    <col min="11" max="11" style="11238" width="93.00390625" customWidth="1"/>
    <col min="12" max="20" style="11160" width="10.00390625" customWidth="1"/>
    <col min="21" max="21" style="13079" width="10.00390625" customWidth="1"/>
    <col min="22" max="22" style="11160" width="10.57421875" hidden="1"/>
  </cols>
  <sheetData>
    <row s="11238" customFormat="1" customHeight="1" ht="22.5" hidden="1">
      <c r="C1" s="899"/>
      <c r="G1" s="644">
        <v>4</v>
      </c>
      <c r="I1" s="644">
        <v>4</v>
      </c>
      <c r="U1" s="647"/>
      <c r="V1" s="644" t="s">
        <v>14</v>
      </c>
    </row>
    <row s="11238" customFormat="1" customHeight="1" ht="15" hidden="1">
      <c r="C2" s="899"/>
      <c r="U2" s="647"/>
      <c r="V2" s="644">
        <v>0</v>
      </c>
    </row>
    <row customHeight="1" ht="22.5" hidden="1">
      <c r="A3" s="732"/>
      <c r="B3" s="2624"/>
      <c r="C3" s="2625" t="s">
        <v>531</v>
      </c>
      <c r="D3" s="916" t="str">
        <f>B3&amp;".1"</f>
        <v>.1</v>
      </c>
      <c r="E3" s="917" t="s">
        <v>937</v>
      </c>
      <c r="F3" s="918" t="s">
        <v>308</v>
      </c>
      <c r="G3" s="913"/>
      <c r="H3" s="628"/>
      <c r="I3" s="913"/>
      <c r="J3" s="628"/>
      <c r="K3" s="516" t="s">
        <v>938</v>
      </c>
      <c r="V3" s="732">
        <v>0</v>
      </c>
    </row>
    <row customHeight="1" ht="15" hidden="1">
      <c r="A4" s="732"/>
      <c r="B4" s="2624"/>
      <c r="C4" s="2625"/>
      <c r="D4" s="916" t="str">
        <f>B3&amp;".2"</f>
        <v>.2</v>
      </c>
      <c r="E4" s="917" t="s">
        <v>939</v>
      </c>
      <c r="F4" s="918" t="s">
        <v>308</v>
      </c>
      <c r="G4" s="1965" t="s">
        <v>28</v>
      </c>
      <c r="H4" s="628"/>
      <c r="I4" s="1965" t="s">
        <v>28</v>
      </c>
      <c r="J4" s="628"/>
      <c r="K4" s="516" t="s">
        <v>940</v>
      </c>
      <c r="V4" s="732">
        <v>0</v>
      </c>
    </row>
    <row s="11238" customFormat="1" customHeight="1" ht="15" hidden="1">
      <c r="C5" s="899"/>
      <c r="U5" s="647"/>
      <c r="V5" s="644">
        <v>0</v>
      </c>
    </row>
    <row customHeight="1" ht="22.5" hidden="1">
      <c r="A6" s="732"/>
      <c r="B6" s="2624"/>
      <c r="C6" s="2625" t="s">
        <v>531</v>
      </c>
      <c r="D6" s="916" t="str">
        <f>B6&amp;".1"</f>
        <v>.1</v>
      </c>
      <c r="E6" s="917" t="s">
        <v>941</v>
      </c>
      <c r="F6" s="918" t="s">
        <v>308</v>
      </c>
      <c r="G6" s="913"/>
      <c r="H6" s="628"/>
      <c r="I6" s="913"/>
      <c r="J6" s="628"/>
      <c r="K6" s="516" t="s">
        <v>942</v>
      </c>
      <c r="V6" s="732">
        <v>0</v>
      </c>
    </row>
    <row customHeight="1" ht="15" hidden="1">
      <c r="A7" s="732"/>
      <c r="B7" s="2624"/>
      <c r="C7" s="2625"/>
      <c r="D7" s="916" t="str">
        <f>B6&amp;".2"</f>
        <v>.2</v>
      </c>
      <c r="E7" s="917" t="s">
        <v>939</v>
      </c>
      <c r="F7" s="918" t="s">
        <v>308</v>
      </c>
      <c r="G7" s="1965" t="s">
        <v>28</v>
      </c>
      <c r="H7" s="628"/>
      <c r="I7" s="1965" t="s">
        <v>28</v>
      </c>
      <c r="J7" s="628"/>
      <c r="K7" s="516" t="s">
        <v>940</v>
      </c>
      <c r="V7" s="732">
        <v>0</v>
      </c>
    </row>
    <row s="11238" customFormat="1" customHeight="1" ht="15" hidden="1">
      <c r="C8" s="899"/>
      <c r="U8" s="647"/>
      <c r="V8" s="644">
        <v>0</v>
      </c>
    </row>
    <row customHeight="1" ht="22.5" hidden="1">
      <c r="A9" s="732"/>
      <c r="B9" s="2624"/>
      <c r="C9" s="2625" t="s">
        <v>531</v>
      </c>
      <c r="D9" s="916" t="str">
        <f>B9&amp;".1"</f>
        <v>.1</v>
      </c>
      <c r="E9" s="917" t="s">
        <v>943</v>
      </c>
      <c r="F9" s="918" t="s">
        <v>308</v>
      </c>
      <c r="G9" s="924" t="s">
        <v>28</v>
      </c>
      <c r="H9" s="628" t="s">
        <v>28</v>
      </c>
      <c r="I9" s="924" t="s">
        <v>28</v>
      </c>
      <c r="J9" s="628" t="s">
        <v>28</v>
      </c>
      <c r="K9" s="516"/>
      <c r="V9" s="732">
        <v>0</v>
      </c>
    </row>
    <row customHeight="1" ht="15" hidden="1">
      <c r="A10" s="732"/>
      <c r="B10" s="2624"/>
      <c r="C10" s="2625"/>
      <c r="D10" s="916" t="str">
        <f>B9&amp;".2"</f>
        <v>.2</v>
      </c>
      <c r="E10" s="917" t="s">
        <v>944</v>
      </c>
      <c r="F10" s="918" t="s">
        <v>308</v>
      </c>
      <c r="G10" s="1959" t="s">
        <v>28</v>
      </c>
      <c r="H10" s="628" t="s">
        <v>28</v>
      </c>
      <c r="I10" s="1959" t="s">
        <v>28</v>
      </c>
      <c r="J10" s="628" t="s">
        <v>28</v>
      </c>
      <c r="K10" s="516" t="s">
        <v>945</v>
      </c>
      <c r="V10" s="732">
        <v>0</v>
      </c>
    </row>
    <row customHeight="1" ht="15" hidden="1">
      <c r="A11" s="732"/>
      <c r="B11" s="2624"/>
      <c r="C11" s="2625"/>
      <c r="D11" s="916" t="str">
        <f>B9&amp;".3"</f>
        <v>.3</v>
      </c>
      <c r="E11" s="917" t="s">
        <v>946</v>
      </c>
      <c r="F11" s="918" t="s">
        <v>308</v>
      </c>
      <c r="G11" s="1959" t="s">
        <v>28</v>
      </c>
      <c r="H11" s="628" t="s">
        <v>28</v>
      </c>
      <c r="I11" s="1959" t="s">
        <v>28</v>
      </c>
      <c r="J11" s="628" t="s">
        <v>28</v>
      </c>
      <c r="K11" s="516" t="s">
        <v>947</v>
      </c>
      <c r="V11" s="732">
        <v>0</v>
      </c>
    </row>
    <row s="11238" customFormat="1" customHeight="1" ht="15" hidden="1">
      <c r="C12" s="899"/>
      <c r="U12" s="647"/>
      <c r="V12" s="644">
        <v>0</v>
      </c>
    </row>
    <row customHeight="1" ht="33.75" hidden="1">
      <c r="A13" s="732"/>
      <c r="B13" s="2624"/>
      <c r="C13" s="2625" t="s">
        <v>531</v>
      </c>
      <c r="D13" s="916" t="str">
        <f>B13&amp;".1"</f>
        <v>.1</v>
      </c>
      <c r="E13" s="917" t="s">
        <v>948</v>
      </c>
      <c r="F13" s="918" t="s">
        <v>308</v>
      </c>
      <c r="G13" s="924" t="s">
        <v>28</v>
      </c>
      <c r="H13" s="628" t="s">
        <v>28</v>
      </c>
      <c r="I13" s="924" t="s">
        <v>28</v>
      </c>
      <c r="J13" s="628" t="s">
        <v>28</v>
      </c>
      <c r="K13" s="516" t="s">
        <v>949</v>
      </c>
      <c r="V13" s="732">
        <v>0</v>
      </c>
    </row>
    <row customHeight="1" ht="15" hidden="1">
      <c r="B14" s="2624"/>
      <c r="C14" s="2625"/>
      <c r="D14" s="916" t="str">
        <f>B13&amp;".2"</f>
        <v>.2</v>
      </c>
      <c r="E14" s="917" t="s">
        <v>950</v>
      </c>
      <c r="F14" s="918" t="s">
        <v>308</v>
      </c>
      <c r="G14" s="1959" t="s">
        <v>28</v>
      </c>
      <c r="H14" s="628" t="s">
        <v>28</v>
      </c>
      <c r="I14" s="1959" t="s">
        <v>28</v>
      </c>
      <c r="J14" s="628" t="s">
        <v>28</v>
      </c>
      <c r="K14" s="516" t="s">
        <v>951</v>
      </c>
      <c r="V14" s="732">
        <v>0</v>
      </c>
    </row>
    <row s="11238" customFormat="1" customHeight="1" ht="15" hidden="1">
      <c r="C15" s="899"/>
      <c r="U15" s="647"/>
      <c r="V15" s="644">
        <v>0</v>
      </c>
    </row>
    <row s="11238" customFormat="1" customHeight="1" ht="15" hidden="1">
      <c r="C16" s="899"/>
      <c r="U16" s="647"/>
      <c r="V16" s="644">
        <v>0</v>
      </c>
    </row>
    <row s="11238" customFormat="1" customHeight="1" ht="15" hidden="1">
      <c r="C17" s="899"/>
      <c r="U17" s="647"/>
      <c r="V17" s="644">
        <v>0</v>
      </c>
    </row>
    <row s="11238" customFormat="1" customHeight="1" ht="15" hidden="1">
      <c r="C18" s="899"/>
      <c r="U18" s="647"/>
      <c r="V18" s="644">
        <v>0</v>
      </c>
    </row>
    <row s="11238" customFormat="1" customHeight="1" ht="15" hidden="1">
      <c r="C19" s="899"/>
      <c r="U19" s="647"/>
      <c r="V19" s="644">
        <v>0</v>
      </c>
    </row>
    <row s="11238"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ООО "Рыбинская генерация"</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160"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303</v>
      </c>
      <c r="V26" s="732">
        <v>15</v>
      </c>
    </row>
    <row s="11160" customFormat="1" customHeight="1" ht="15.75">
      <c r="A27" s="986"/>
      <c r="C27" s="403"/>
      <c r="D27" s="938"/>
      <c r="E27" s="2594" t="s">
        <v>566</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160" customFormat="1" customHeight="1" ht="15.75">
      <c r="A28" s="986"/>
      <c r="C28" s="403"/>
      <c r="D28" s="938"/>
      <c r="E28" s="2594" t="s">
        <v>567</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160" customFormat="1" customHeight="1" ht="15.75">
      <c r="A29" s="986"/>
      <c r="C29" s="403"/>
      <c r="D29" s="2596" t="s">
        <v>302</v>
      </c>
      <c r="E29" s="2597"/>
      <c r="F29" s="2597"/>
      <c r="G29" s="1114"/>
      <c r="H29" s="1114"/>
      <c r="I29" s="1114"/>
      <c r="J29" s="1115"/>
      <c r="K29" s="2422"/>
      <c r="U29" s="902"/>
      <c r="V29" s="985">
        <v>15</v>
      </c>
    </row>
    <row customHeight="1" ht="35.699999999999996">
      <c r="C30" s="403"/>
      <c r="D30" s="988" t="s">
        <v>87</v>
      </c>
      <c r="E30" s="987" t="s">
        <v>304</v>
      </c>
      <c r="F30" s="987" t="s">
        <v>568</v>
      </c>
      <c r="G30" s="1035" t="s">
        <v>305</v>
      </c>
      <c r="H30" s="1034" t="s">
        <v>392</v>
      </c>
      <c r="I30" s="911" t="s">
        <v>305</v>
      </c>
      <c r="J30" s="692" t="s">
        <v>392</v>
      </c>
      <c r="K30" s="2428"/>
      <c r="V30" s="732">
        <v>34</v>
      </c>
    </row>
    <row customHeight="1" ht="15" hidden="1">
      <c r="C31" s="403"/>
      <c r="D31" s="820"/>
      <c r="E31" s="820"/>
      <c r="F31" s="820"/>
      <c r="G31" s="886"/>
      <c r="H31" s="886"/>
      <c r="I31" s="886"/>
      <c r="J31" s="886"/>
      <c r="K31" s="516"/>
      <c r="V31" s="732">
        <v>0</v>
      </c>
    </row>
    <row customHeight="1" ht="24">
      <c r="A32" s="732"/>
      <c r="B32" s="732" t="s">
        <v>952</v>
      </c>
      <c r="C32" s="753"/>
      <c r="D32" s="919">
        <v>1</v>
      </c>
      <c r="E32" s="920" t="s">
        <v>953</v>
      </c>
      <c r="F32" s="918" t="s">
        <v>308</v>
      </c>
      <c r="G32" s="1040" t="s">
        <v>308</v>
      </c>
      <c r="H32" s="1040" t="s">
        <v>308</v>
      </c>
      <c r="I32" s="918" t="s">
        <v>308</v>
      </c>
      <c r="J32" s="918" t="s">
        <v>308</v>
      </c>
      <c r="K32" s="516"/>
      <c r="V32" s="732">
        <v>23</v>
      </c>
    </row>
    <row customHeight="1" ht="11.549999999999999">
      <c r="A33" s="732"/>
      <c r="C33" s="732"/>
      <c r="D33" s="574"/>
      <c r="E33" s="807" t="s">
        <v>588</v>
      </c>
      <c r="F33" s="799"/>
      <c r="G33" s="799"/>
      <c r="H33" s="799"/>
      <c r="I33" s="799"/>
      <c r="J33" s="799"/>
      <c r="K33" s="800"/>
      <c r="U33" s="732"/>
      <c r="V33" s="732">
        <v>11</v>
      </c>
    </row>
    <row customHeight="1" ht="24">
      <c r="A34" s="732"/>
      <c r="B34" s="808" t="s">
        <v>638</v>
      </c>
      <c r="C34" s="753"/>
      <c r="D34" s="919">
        <v>2</v>
      </c>
      <c r="E34" s="920" t="s">
        <v>954</v>
      </c>
      <c r="F34" s="1047" t="s">
        <v>308</v>
      </c>
      <c r="G34" s="1047" t="s">
        <v>308</v>
      </c>
      <c r="H34" s="1047" t="s">
        <v>308</v>
      </c>
      <c r="I34" s="918"/>
      <c r="J34" s="918"/>
      <c r="K34" s="516"/>
      <c r="V34" s="732">
        <v>23</v>
      </c>
    </row>
    <row customHeight="1" ht="11.549999999999999">
      <c r="A35" s="732"/>
      <c r="C35" s="732"/>
      <c r="D35" s="574"/>
      <c r="E35" s="807" t="s">
        <v>955</v>
      </c>
      <c r="F35" s="799"/>
      <c r="G35" s="921"/>
      <c r="H35" s="799"/>
      <c r="I35" s="921"/>
      <c r="J35" s="799"/>
      <c r="K35" s="800"/>
      <c r="U35" s="732"/>
      <c r="V35" s="732">
        <v>11</v>
      </c>
    </row>
    <row customHeight="1" ht="71.25">
      <c r="A36" s="732"/>
      <c r="B36" s="732" t="s">
        <v>956</v>
      </c>
      <c r="C36" s="753"/>
      <c r="D36" s="919">
        <v>3</v>
      </c>
      <c r="E36" s="920" t="s">
        <v>957</v>
      </c>
      <c r="F36" s="922" t="s">
        <v>308</v>
      </c>
      <c r="G36" s="1041" t="s">
        <v>958</v>
      </c>
      <c r="H36" s="1040" t="s">
        <v>308</v>
      </c>
      <c r="I36" s="751" t="s">
        <v>958</v>
      </c>
      <c r="J36" s="918" t="s">
        <v>308</v>
      </c>
      <c r="K36" s="516" t="s">
        <v>959</v>
      </c>
      <c r="V36" s="732">
        <v>68</v>
      </c>
    </row>
    <row customHeight="1" ht="11.549999999999999">
      <c r="A37" s="732"/>
      <c r="C37" s="732"/>
      <c r="D37" s="574"/>
      <c r="E37" s="807" t="s">
        <v>960</v>
      </c>
      <c r="F37" s="799"/>
      <c r="G37" s="921"/>
      <c r="H37" s="921"/>
      <c r="I37" s="921"/>
      <c r="J37" s="921"/>
      <c r="K37" s="800"/>
      <c r="U37" s="732"/>
      <c r="V37" s="732">
        <v>11</v>
      </c>
    </row>
    <row customHeight="1" ht="71.25">
      <c r="A38" s="732"/>
      <c r="B38" s="732" t="s">
        <v>961</v>
      </c>
      <c r="C38" s="753"/>
      <c r="D38" s="919">
        <v>4</v>
      </c>
      <c r="E38" s="920" t="s">
        <v>962</v>
      </c>
      <c r="F38" s="922" t="s">
        <v>308</v>
      </c>
      <c r="G38" s="1041" t="s">
        <v>958</v>
      </c>
      <c r="H38" s="1042" t="s">
        <v>308</v>
      </c>
      <c r="I38" s="751" t="s">
        <v>958</v>
      </c>
      <c r="J38" s="748" t="s">
        <v>308</v>
      </c>
      <c r="K38" s="906" t="s">
        <v>963</v>
      </c>
      <c r="V38" s="732">
        <v>68</v>
      </c>
    </row>
    <row customHeight="1" ht="11.549999999999999">
      <c r="A39" s="732"/>
      <c r="C39" s="732"/>
      <c r="D39" s="574"/>
      <c r="E39" s="807" t="s">
        <v>964</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AE8F8-09B8-7B38-1EA9-1C7C35CD2D4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3049" width="6.7109375" hidden="1" customWidth="1"/>
    <col min="4" max="4" style="11238" width="6.7109375" hidden="1" customWidth="1"/>
    <col min="5" max="5" style="11160" width="3.00390625" customWidth="1"/>
    <col min="6" max="6" style="11160" width="6.00390625" customWidth="1"/>
    <col min="7" max="7" style="11160" width="37.00390625" customWidth="1"/>
    <col min="8" max="8" style="11160" width="16.00390625" customWidth="1"/>
    <col min="9" max="10" style="11160" width="19.00390625" customWidth="1"/>
    <col min="11" max="11" style="11160" width="24.00390625" customWidth="1"/>
    <col min="12" max="13" style="11160" width="25.00390625" customWidth="1"/>
    <col min="14" max="16" style="11160" width="17.00390625" customWidth="1"/>
    <col min="17" max="24" style="11160" width="19.00390625" customWidth="1"/>
    <col min="25" max="25" style="11160" width="7.00390625" customWidth="1"/>
    <col min="26" max="26" style="11160" width="3.00390625" customWidth="1"/>
    <col min="27" max="27" style="11160" width="6.00390625" customWidth="1"/>
    <col min="28" max="28" style="11160" width="34.00390625" customWidth="1"/>
    <col min="29" max="30" style="11160" width="8.00390625" customWidth="1"/>
    <col min="31" max="31" style="11160" width="9.140625" hidden="1"/>
  </cols>
  <sheetData>
    <row s="11238" customFormat="1" customHeight="1" ht="10.5" hidden="1">
      <c r="A1" s="1122"/>
      <c r="B1" s="1122"/>
      <c r="C1" s="1122"/>
      <c r="E1" s="764"/>
      <c r="H1" s="1387"/>
      <c r="AE1" s="644" t="s">
        <v>14</v>
      </c>
    </row>
    <row customHeight="1" ht="10.5" hidden="1">
      <c r="AE2" s="985">
        <v>0</v>
      </c>
    </row>
    <row s="11124" customFormat="1" customHeight="1" ht="10.5" hidden="1">
      <c r="A3" s="1122"/>
      <c r="B3" s="1122"/>
      <c r="C3" s="1122"/>
      <c r="D3" s="644"/>
      <c r="E3" s="589"/>
      <c r="G3" s="1859" t="s">
        <v>965</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1160" customFormat="1" customHeight="1" ht="16.8">
      <c r="A6" s="1393"/>
      <c r="B6" s="1393"/>
      <c r="C6" s="1393"/>
      <c r="D6" s="1387"/>
      <c r="E6" s="1862"/>
      <c r="F6" s="2476" t="str">
        <f>IF(org=0,"Не определено",org)</f>
        <v>ООО "Рыбинская генерация"</v>
      </c>
      <c r="G6" s="2476"/>
      <c r="H6" s="2476"/>
      <c r="I6" s="2476"/>
      <c r="J6" s="2476"/>
      <c r="K6" s="2476"/>
      <c r="M6" s="809"/>
      <c r="AB6" s="1375"/>
      <c r="AE6" s="1858">
        <v>16</v>
      </c>
    </row>
    <row customHeight="1" ht="10.5">
      <c r="AE7" s="985">
        <v>10</v>
      </c>
    </row>
    <row customHeight="1" ht="10.5">
      <c r="A8" s="1278"/>
      <c r="B8" s="1278"/>
      <c r="C8" s="1278"/>
      <c r="F8" s="2328" t="s">
        <v>302</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965</v>
      </c>
      <c r="H9" s="2402" t="s">
        <v>966</v>
      </c>
      <c r="I9" s="2354" t="s">
        <v>967</v>
      </c>
      <c r="J9" s="2354" t="s">
        <v>968</v>
      </c>
      <c r="K9" s="2354" t="s">
        <v>969</v>
      </c>
      <c r="L9" s="2354" t="s">
        <v>970</v>
      </c>
      <c r="M9" s="2354" t="s">
        <v>971</v>
      </c>
      <c r="N9" s="2436" t="s">
        <v>972</v>
      </c>
      <c r="O9" s="2436"/>
      <c r="P9" s="2436"/>
      <c r="Q9" s="2626" t="s">
        <v>973</v>
      </c>
      <c r="R9" s="2627"/>
      <c r="S9" s="2627"/>
      <c r="T9" s="2628"/>
      <c r="U9" s="2626" t="s">
        <v>974</v>
      </c>
      <c r="V9" s="2627"/>
      <c r="W9" s="2627"/>
      <c r="X9" s="2628"/>
      <c r="Y9" s="2328" t="s">
        <v>975</v>
      </c>
      <c r="Z9" s="2329"/>
      <c r="AA9" s="2329"/>
      <c r="AB9" s="2330"/>
      <c r="AE9" s="985">
        <v>41</v>
      </c>
    </row>
    <row customHeight="1" ht="43.050000000000004">
      <c r="A10" s="1132"/>
      <c r="B10" s="1132"/>
      <c r="C10" s="1132"/>
      <c r="F10" s="2402"/>
      <c r="G10" s="2402"/>
      <c r="H10" s="2459"/>
      <c r="I10" s="2402"/>
      <c r="J10" s="2402"/>
      <c r="K10" s="2402"/>
      <c r="L10" s="2402"/>
      <c r="M10" s="2402"/>
      <c r="N10" s="1130" t="s">
        <v>976</v>
      </c>
      <c r="O10" s="1130" t="s">
        <v>977</v>
      </c>
      <c r="P10" s="1131" t="s">
        <v>978</v>
      </c>
      <c r="Q10" s="1142" t="s">
        <v>88</v>
      </c>
      <c r="R10" s="1142" t="s">
        <v>979</v>
      </c>
      <c r="S10" s="1142" t="s">
        <v>980</v>
      </c>
      <c r="T10" s="1143" t="s">
        <v>981</v>
      </c>
      <c r="U10" s="1142" t="s">
        <v>88</v>
      </c>
      <c r="V10" s="1142" t="s">
        <v>982</v>
      </c>
      <c r="W10" s="1142" t="s">
        <v>980</v>
      </c>
      <c r="X10" s="1143" t="s">
        <v>981</v>
      </c>
      <c r="Y10" s="528" t="s">
        <v>983</v>
      </c>
      <c r="Z10" s="2328" t="s">
        <v>87</v>
      </c>
      <c r="AA10" s="2330"/>
      <c r="AB10" s="1276" t="s">
        <v>984</v>
      </c>
      <c r="AE10" s="985">
        <v>41</v>
      </c>
    </row>
    <row s="11239" customFormat="1" customHeight="1" ht="5.25" hidden="1">
      <c r="A11" s="1279"/>
      <c r="B11" s="1279"/>
      <c r="C11" s="1279"/>
      <c r="E11" s="1277"/>
      <c r="F11" s="2633" t="s">
        <v>378</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985</v>
      </c>
      <c r="AE11" s="738">
        <v>0</v>
      </c>
    </row>
    <row s="11239"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986</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239"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EFE0D-E268-B2F8-82B8-4B1ECA12A0A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3049" width="4.140625" hidden="1" customWidth="1"/>
    <col min="4" max="4" style="11238" width="4.140625" hidden="1" customWidth="1"/>
    <col min="5" max="5" style="11160" width="3.00390625" customWidth="1"/>
    <col min="6" max="6" style="11160" width="14.00390625" customWidth="1"/>
    <col min="7" max="7" style="11160" width="3.00390625" customWidth="1"/>
    <col min="8" max="8" style="11160" width="7.00390625" customWidth="1"/>
    <col min="9" max="10" style="11160" width="16.00390625" customWidth="1"/>
    <col min="11" max="11" style="11160" width="25.00390625" customWidth="1"/>
    <col min="12" max="12" style="11160" width="7.00390625" customWidth="1"/>
    <col min="13" max="13" style="11160" width="15.00390625" customWidth="1"/>
    <col min="14" max="14" style="11160" width="3.00390625" customWidth="1"/>
    <col min="15" max="15" style="11160" width="4.00390625" customWidth="1"/>
    <col min="16" max="16" style="11160" width="8.00390625" customWidth="1"/>
    <col min="17" max="17" style="11160" width="21.00390625" customWidth="1"/>
    <col min="18" max="18" style="11160" width="14.00390625" customWidth="1"/>
    <col min="19" max="20" style="11160" width="17.00390625" customWidth="1"/>
    <col min="21" max="21" style="11160" width="9.00390625" customWidth="1"/>
    <col min="22" max="22" style="11160" width="12.00390625" customWidth="1"/>
    <col min="23" max="23" style="11160" width="9.00390625" customWidth="1"/>
    <col min="24" max="24" style="11160" width="21.00390625" customWidth="1"/>
    <col min="25" max="25" style="11160" width="12.00390625" customWidth="1"/>
    <col min="26" max="26" style="11160" width="3.00390625" customWidth="1"/>
    <col min="27" max="27" style="11160" width="6.00390625" customWidth="1"/>
    <col min="28" max="28" style="11160" width="38.00390625" customWidth="1"/>
    <col min="29" max="29" style="11160" width="15.00390625" customWidth="1"/>
    <col min="30" max="30" style="11160" width="37.57421875" hidden="1" customWidth="1"/>
    <col min="31" max="31" style="11160" width="15.7109375" hidden="1" customWidth="1"/>
    <col min="32" max="34" style="11160" width="16.00390625" customWidth="1"/>
    <col min="35" max="37" style="11160" width="16.7109375" hidden="1" customWidth="1"/>
    <col min="38" max="58" style="11160" width="8.00390625" customWidth="1"/>
    <col min="59" max="59" style="11160" width="9.140625" hidden="1"/>
  </cols>
  <sheetData>
    <row s="11238" customFormat="1" customHeight="1" ht="10.5" hidden="1">
      <c r="A1" s="1122"/>
      <c r="B1" s="1122"/>
      <c r="C1" s="1122"/>
      <c r="E1" s="764"/>
      <c r="H1" s="1387"/>
      <c r="L1" s="1355"/>
      <c r="M1" s="1355"/>
      <c r="AD1" s="1355"/>
      <c r="AH1" s="1374"/>
      <c r="AI1" s="1367"/>
      <c r="BG1" s="644" t="s">
        <v>14</v>
      </c>
    </row>
    <row customHeight="1" ht="10.5" hidden="1">
      <c r="BG2" s="985">
        <v>0</v>
      </c>
    </row>
    <row s="1112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ООО "Рыбинская генерация"</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302</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987</v>
      </c>
      <c r="G9" s="2636" t="s">
        <v>988</v>
      </c>
      <c r="H9" s="2637"/>
      <c r="I9" s="2354" t="s">
        <v>989</v>
      </c>
      <c r="J9" s="2354"/>
      <c r="K9" s="2354" t="s">
        <v>990</v>
      </c>
      <c r="L9" s="2354"/>
      <c r="M9" s="2354"/>
      <c r="N9" s="2354"/>
      <c r="O9" s="2354"/>
      <c r="P9" s="2354"/>
      <c r="Q9" s="2354"/>
      <c r="R9" s="2354"/>
      <c r="S9" s="2354"/>
      <c r="T9" s="2354"/>
      <c r="U9" s="2354"/>
      <c r="V9" s="2354"/>
      <c r="W9" s="2354"/>
      <c r="X9" s="2354"/>
      <c r="Y9" s="2354"/>
      <c r="Z9" s="2419" t="s">
        <v>991</v>
      </c>
      <c r="AA9" s="2420"/>
      <c r="AB9" s="2354" t="s">
        <v>992</v>
      </c>
      <c r="AC9" s="2354"/>
      <c r="AD9" s="2354"/>
      <c r="AE9" s="2354"/>
      <c r="AF9" s="2402" t="s">
        <v>993</v>
      </c>
      <c r="AG9" s="2354" t="s">
        <v>994</v>
      </c>
      <c r="AH9" s="2354"/>
      <c r="AI9" s="2402" t="s">
        <v>995</v>
      </c>
      <c r="AJ9" s="2354" t="s">
        <v>996</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997</v>
      </c>
      <c r="L10" s="2328" t="s">
        <v>998</v>
      </c>
      <c r="M10" s="2330"/>
      <c r="N10" s="2354" t="s">
        <v>999</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60" customFormat="1" customHeight="1" ht="25.2">
      <c r="A11" s="1356"/>
      <c r="B11" s="1356"/>
      <c r="C11" s="1356"/>
      <c r="D11" s="1355"/>
      <c r="E11" s="1357"/>
      <c r="F11" s="2635"/>
      <c r="G11" s="2638"/>
      <c r="H11" s="2639"/>
      <c r="I11" s="2354"/>
      <c r="J11" s="2354"/>
      <c r="K11" s="2354"/>
      <c r="L11" s="2402" t="s">
        <v>1000</v>
      </c>
      <c r="M11" s="2402" t="s">
        <v>1001</v>
      </c>
      <c r="N11" s="2354" t="s">
        <v>1002</v>
      </c>
      <c r="O11" s="2354"/>
      <c r="P11" s="2645" t="s">
        <v>983</v>
      </c>
      <c r="Q11" s="2645" t="s">
        <v>1003</v>
      </c>
      <c r="R11" s="2645" t="s">
        <v>1004</v>
      </c>
      <c r="S11" s="2645" t="s">
        <v>1005</v>
      </c>
      <c r="T11" s="2645"/>
      <c r="U11" s="2645"/>
      <c r="V11" s="2645"/>
      <c r="W11" s="2645"/>
      <c r="X11" s="2645"/>
      <c r="Y11" s="2645"/>
      <c r="Z11" s="2421"/>
      <c r="AA11" s="2422"/>
      <c r="AB11" s="2354" t="s">
        <v>1006</v>
      </c>
      <c r="AC11" s="2354"/>
      <c r="AD11" s="2328" t="s">
        <v>1007</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1008</v>
      </c>
      <c r="K12" s="2354"/>
      <c r="L12" s="2459"/>
      <c r="M12" s="2459"/>
      <c r="N12" s="2354"/>
      <c r="O12" s="2354"/>
      <c r="P12" s="2645"/>
      <c r="Q12" s="2645"/>
      <c r="R12" s="2645"/>
      <c r="S12" s="1361" t="s">
        <v>85</v>
      </c>
      <c r="T12" s="1361" t="s">
        <v>86</v>
      </c>
      <c r="U12" s="1361" t="s">
        <v>84</v>
      </c>
      <c r="V12" s="1361" t="s">
        <v>1009</v>
      </c>
      <c r="W12" s="1361" t="s">
        <v>84</v>
      </c>
      <c r="X12" s="1361" t="s">
        <v>1010</v>
      </c>
      <c r="Y12" s="1361" t="s">
        <v>1011</v>
      </c>
      <c r="Z12" s="2427"/>
      <c r="AA12" s="2428"/>
      <c r="AB12" s="1368" t="s">
        <v>1012</v>
      </c>
      <c r="AC12" s="1368" t="s">
        <v>1013</v>
      </c>
      <c r="AD12" s="1368" t="s">
        <v>1012</v>
      </c>
      <c r="AE12" s="1368" t="s">
        <v>1013</v>
      </c>
      <c r="AF12" s="2459"/>
      <c r="AG12" s="1381" t="s">
        <v>1014</v>
      </c>
      <c r="AH12" s="1381" t="s">
        <v>1015</v>
      </c>
      <c r="AI12" s="2459"/>
      <c r="AJ12" s="1381" t="s">
        <v>1014</v>
      </c>
      <c r="AK12" s="1381" t="s">
        <v>1015</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1016</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E78B-A9F8-7368-F1E8-80E09F5B85B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3049" width="4.140625" hidden="1" customWidth="1"/>
    <col min="4" max="4" style="11238" width="4.140625" hidden="1" customWidth="1"/>
    <col min="5" max="5" style="11160" width="3.00390625" customWidth="1"/>
    <col min="6" max="6" style="11160" width="6.00390625" customWidth="1"/>
    <col min="7" max="7" style="11160" width="60.00390625" customWidth="1"/>
    <col min="8" max="9" style="11160" width="21.7109375" hidden="1" customWidth="1"/>
    <col min="10" max="10" style="11160" width="0.140625" customWidth="1"/>
    <col min="11" max="11" style="11160" width="1.00390625" customWidth="1"/>
    <col min="12" max="22" style="11160" width="8.00390625" customWidth="1"/>
    <col min="23" max="23" style="11160" width="9.140625" hidden="1"/>
  </cols>
  <sheetData>
    <row s="11238" customFormat="1" customHeight="1" ht="10.5" hidden="1">
      <c r="A1" s="1393"/>
      <c r="B1" s="1393"/>
      <c r="C1" s="1393"/>
      <c r="E1" s="764"/>
      <c r="W1" s="1387" t="s">
        <v>14</v>
      </c>
    </row>
    <row customHeight="1" ht="10.5" hidden="1">
      <c r="W2" s="1382">
        <v>0</v>
      </c>
    </row>
    <row s="1112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W5" s="1382">
        <v>26</v>
      </c>
    </row>
    <row customHeight="1" ht="10.5">
      <c r="F6" s="2403" t="str">
        <f>IF(org=0,"Не определено",org)</f>
        <v>ООО "Рыбинская генерация"</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239"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302</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1017</v>
      </c>
      <c r="H10" s="2653" t="s">
        <v>1018</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1019</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1020</v>
      </c>
      <c r="G14" s="2648" t="s">
        <v>1021</v>
      </c>
      <c r="H14" s="2648"/>
      <c r="I14" s="2648"/>
      <c r="J14" s="2648"/>
      <c r="K14" s="1461"/>
      <c r="W14" s="1382">
        <v>11</v>
      </c>
    </row>
    <row customHeight="1" ht="11.549999999999999">
      <c r="F15" s="1457">
        <v>1</v>
      </c>
      <c r="G15" s="917" t="s">
        <v>1022</v>
      </c>
      <c r="H15" s="1463">
        <f>SUM(I15:J15)</f>
        <v>0</v>
      </c>
      <c r="I15" s="1463">
        <f>SUM(I16:I27)</f>
        <v>0</v>
      </c>
      <c r="J15" s="1452"/>
      <c r="K15" s="1461"/>
      <c r="W15" s="1382">
        <v>11</v>
      </c>
    </row>
    <row customHeight="1" ht="24">
      <c r="F16" s="1457" t="s">
        <v>1023</v>
      </c>
      <c r="G16" s="1464" t="s">
        <v>1024</v>
      </c>
      <c r="H16" s="1463">
        <f>SUM(I16:J16)</f>
        <v>0</v>
      </c>
      <c r="I16" s="1462"/>
      <c r="J16" s="1452"/>
      <c r="K16" s="1461"/>
      <c r="W16" s="1382">
        <v>23</v>
      </c>
    </row>
    <row customHeight="1" ht="24">
      <c r="F17" s="1457" t="s">
        <v>1025</v>
      </c>
      <c r="G17" s="1464" t="s">
        <v>1026</v>
      </c>
      <c r="H17" s="1463">
        <f>SUM(I17:J17)</f>
        <v>0</v>
      </c>
      <c r="I17" s="1462"/>
      <c r="J17" s="1452"/>
      <c r="K17" s="1461"/>
      <c r="W17" s="1382">
        <v>23</v>
      </c>
    </row>
    <row customHeight="1" ht="35.699999999999996">
      <c r="F18" s="1457" t="s">
        <v>1027</v>
      </c>
      <c r="G18" s="1464" t="s">
        <v>1028</v>
      </c>
      <c r="H18" s="1463">
        <f>SUM(I18:J18)</f>
        <v>0</v>
      </c>
      <c r="I18" s="1462"/>
      <c r="J18" s="1452"/>
      <c r="K18" s="1461"/>
      <c r="W18" s="1382">
        <v>34</v>
      </c>
    </row>
    <row customHeight="1" ht="35.699999999999996">
      <c r="F19" s="1457" t="s">
        <v>1029</v>
      </c>
      <c r="G19" s="1464" t="s">
        <v>1030</v>
      </c>
      <c r="H19" s="1463">
        <f>SUM(I19:J19)</f>
        <v>0</v>
      </c>
      <c r="I19" s="1462"/>
      <c r="J19" s="1452"/>
      <c r="K19" s="1461"/>
      <c r="W19" s="1382">
        <v>34</v>
      </c>
    </row>
    <row customHeight="1" ht="48.29999999999999">
      <c r="F20" s="1457" t="s">
        <v>1031</v>
      </c>
      <c r="G20" s="1464" t="s">
        <v>1032</v>
      </c>
      <c r="H20" s="1463">
        <f>SUM(I20:J20)</f>
        <v>0</v>
      </c>
      <c r="I20" s="1462"/>
      <c r="J20" s="1452"/>
      <c r="K20" s="1461"/>
      <c r="W20" s="1382">
        <v>46</v>
      </c>
    </row>
    <row customHeight="1" ht="35.699999999999996">
      <c r="F21" s="1457" t="s">
        <v>1033</v>
      </c>
      <c r="G21" s="1464" t="s">
        <v>1034</v>
      </c>
      <c r="H21" s="1463">
        <f>SUM(I21:J21)</f>
        <v>0</v>
      </c>
      <c r="I21" s="1462"/>
      <c r="J21" s="1452"/>
      <c r="K21" s="1461"/>
      <c r="W21" s="1382">
        <v>34</v>
      </c>
    </row>
    <row customHeight="1" ht="35.699999999999996">
      <c r="F22" s="1457" t="s">
        <v>1035</v>
      </c>
      <c r="G22" s="1464" t="s">
        <v>1036</v>
      </c>
      <c r="H22" s="1463">
        <f>SUM(I22:J22)</f>
        <v>0</v>
      </c>
      <c r="I22" s="1462"/>
      <c r="J22" s="1452"/>
      <c r="K22" s="1461"/>
      <c r="W22" s="1382">
        <v>34</v>
      </c>
    </row>
    <row customHeight="1" ht="24">
      <c r="F23" s="1457" t="s">
        <v>1037</v>
      </c>
      <c r="G23" s="1464" t="s">
        <v>1038</v>
      </c>
      <c r="H23" s="1463">
        <f>SUM(I23:J23)</f>
        <v>0</v>
      </c>
      <c r="I23" s="1462"/>
      <c r="J23" s="1452"/>
      <c r="K23" s="1461"/>
      <c r="W23" s="1382">
        <v>23</v>
      </c>
    </row>
    <row customHeight="1" ht="24">
      <c r="F24" s="1457" t="s">
        <v>1039</v>
      </c>
      <c r="G24" s="1464" t="s">
        <v>1040</v>
      </c>
      <c r="H24" s="1463">
        <f>SUM(I24:J24)</f>
        <v>0</v>
      </c>
      <c r="I24" s="1462"/>
      <c r="J24" s="1452"/>
      <c r="K24" s="1461"/>
      <c r="W24" s="1382">
        <v>23</v>
      </c>
    </row>
    <row customHeight="1" ht="35.699999999999996">
      <c r="F25" s="1457" t="s">
        <v>1041</v>
      </c>
      <c r="G25" s="1464" t="s">
        <v>1042</v>
      </c>
      <c r="H25" s="1463">
        <f>SUM(I25:J25)</f>
        <v>0</v>
      </c>
      <c r="I25" s="1462"/>
      <c r="J25" s="1452"/>
      <c r="K25" s="1461"/>
      <c r="W25" s="1382">
        <v>34</v>
      </c>
    </row>
    <row customHeight="1" ht="35.699999999999996">
      <c r="F26" s="1457" t="s">
        <v>1043</v>
      </c>
      <c r="G26" s="1464" t="s">
        <v>1044</v>
      </c>
      <c r="H26" s="1463">
        <f>SUM(I26:J26)</f>
        <v>0</v>
      </c>
      <c r="I26" s="1462"/>
      <c r="J26" s="1452"/>
      <c r="K26" s="1461"/>
      <c r="W26" s="1382">
        <v>34</v>
      </c>
    </row>
    <row customHeight="1" ht="11.549999999999999">
      <c r="F27" s="1457" t="s">
        <v>1045</v>
      </c>
      <c r="G27" s="1464" t="s">
        <v>1046</v>
      </c>
      <c r="H27" s="1463">
        <f>SUM(I27:J27)</f>
        <v>0</v>
      </c>
      <c r="I27" s="1462"/>
      <c r="J27" s="1452"/>
      <c r="K27" s="1461"/>
      <c r="W27" s="1382">
        <v>11</v>
      </c>
    </row>
    <row customHeight="1" ht="11.549999999999999">
      <c r="F28" s="1457">
        <v>2</v>
      </c>
      <c r="G28" s="917" t="s">
        <v>1047</v>
      </c>
      <c r="H28" s="1463">
        <f>SUM(I28:J28)</f>
        <v>0</v>
      </c>
      <c r="I28" s="1463">
        <f>SUM(I29:I31)</f>
        <v>0</v>
      </c>
      <c r="J28" s="1452"/>
      <c r="K28" s="1461"/>
      <c r="W28" s="1382">
        <v>11</v>
      </c>
    </row>
    <row customHeight="1" ht="11.549999999999999">
      <c r="F29" s="1457" t="s">
        <v>710</v>
      </c>
      <c r="G29" s="1464" t="s">
        <v>1048</v>
      </c>
      <c r="H29" s="1463">
        <f>SUM(I29:J29)</f>
        <v>0</v>
      </c>
      <c r="I29" s="1462"/>
      <c r="J29" s="1452"/>
      <c r="K29" s="1461"/>
      <c r="W29" s="1382">
        <v>11</v>
      </c>
    </row>
    <row customHeight="1" ht="11.549999999999999">
      <c r="F30" s="1457" t="s">
        <v>309</v>
      </c>
      <c r="G30" s="1464" t="s">
        <v>1049</v>
      </c>
      <c r="H30" s="1463">
        <f>SUM(I30:J30)</f>
        <v>0</v>
      </c>
      <c r="I30" s="1462"/>
      <c r="J30" s="1452"/>
      <c r="K30" s="1461"/>
      <c r="W30" s="1382">
        <v>11</v>
      </c>
    </row>
    <row customHeight="1" ht="11.549999999999999">
      <c r="F31" s="1457" t="s">
        <v>312</v>
      </c>
      <c r="G31" s="1464" t="s">
        <v>1050</v>
      </c>
      <c r="H31" s="1463">
        <f>SUM(I31:J31)</f>
        <v>0</v>
      </c>
      <c r="I31" s="1462"/>
      <c r="J31" s="1452"/>
      <c r="K31" s="1461"/>
      <c r="W31" s="1382">
        <v>11</v>
      </c>
    </row>
    <row customHeight="1" ht="11.549999999999999">
      <c r="F32" s="1457">
        <v>3</v>
      </c>
      <c r="G32" s="917" t="s">
        <v>1051</v>
      </c>
      <c r="H32" s="1463">
        <f>SUM(I32:J32)</f>
        <v>0</v>
      </c>
      <c r="I32" s="1463">
        <f>SUM(I33:I34)</f>
        <v>0</v>
      </c>
      <c r="J32" s="1452"/>
      <c r="K32" s="1461"/>
      <c r="W32" s="1382">
        <v>11</v>
      </c>
    </row>
    <row customHeight="1" ht="48.29999999999999">
      <c r="F33" s="1457" t="s">
        <v>326</v>
      </c>
      <c r="G33" s="1464" t="s">
        <v>1052</v>
      </c>
      <c r="H33" s="1463">
        <f>SUM(I33:J33)</f>
        <v>0</v>
      </c>
      <c r="I33" s="1462"/>
      <c r="J33" s="1452"/>
      <c r="K33" s="1461"/>
      <c r="W33" s="1382">
        <v>46</v>
      </c>
    </row>
    <row customHeight="1" ht="11.549999999999999">
      <c r="F34" s="1457" t="s">
        <v>334</v>
      </c>
      <c r="G34" s="1464" t="s">
        <v>1053</v>
      </c>
      <c r="H34" s="1463">
        <f>SUM(I34:J34)</f>
        <v>0</v>
      </c>
      <c r="I34" s="1462"/>
      <c r="J34" s="1452"/>
      <c r="K34" s="1461"/>
      <c r="W34" s="1382">
        <v>11</v>
      </c>
    </row>
    <row customHeight="1" ht="11.549999999999999">
      <c r="F35" s="1457">
        <v>4</v>
      </c>
      <c r="G35" s="917" t="s">
        <v>1054</v>
      </c>
      <c r="H35" s="1463">
        <f>SUM(I35:J35)</f>
        <v>0</v>
      </c>
      <c r="I35" s="1462"/>
      <c r="J35" s="1452"/>
      <c r="K35" s="1461"/>
      <c r="W35" s="1382">
        <v>11</v>
      </c>
    </row>
    <row customHeight="1" ht="11.549999999999999">
      <c r="F36" s="1457"/>
      <c r="G36" s="920" t="s">
        <v>1055</v>
      </c>
      <c r="H36" s="1463">
        <f>SUM(I36:J36)</f>
        <v>0</v>
      </c>
      <c r="I36" s="1463">
        <f>SUM(I15,I28,I32,I35)</f>
        <v>0</v>
      </c>
      <c r="J36" s="1452"/>
      <c r="K36" s="1461"/>
      <c r="W36" s="1382">
        <v>11</v>
      </c>
    </row>
    <row customHeight="1" ht="29.25">
      <c r="F37" s="1458" t="s">
        <v>1056</v>
      </c>
      <c r="G37" s="2649" t="s">
        <v>1057</v>
      </c>
      <c r="H37" s="2649"/>
      <c r="I37" s="2649"/>
      <c r="J37" s="2649"/>
      <c r="K37" s="1461"/>
      <c r="W37" s="1382">
        <v>28</v>
      </c>
    </row>
    <row customHeight="1" ht="24">
      <c r="F38" s="1457" t="s">
        <v>108</v>
      </c>
      <c r="G38" s="917" t="s">
        <v>1058</v>
      </c>
      <c r="H38" s="1463">
        <f>SUM(I38:J38)</f>
        <v>0</v>
      </c>
      <c r="I38" s="1463">
        <f>SUM(I39,I44,I47)</f>
        <v>0</v>
      </c>
      <c r="J38" s="1452"/>
      <c r="K38" s="1461"/>
      <c r="W38" s="1382">
        <v>23</v>
      </c>
    </row>
    <row customHeight="1" ht="11.549999999999999">
      <c r="F39" s="1457" t="s">
        <v>1023</v>
      </c>
      <c r="G39" s="1464" t="s">
        <v>1022</v>
      </c>
      <c r="H39" s="1463">
        <f>SUM(I39:J39)</f>
        <v>0</v>
      </c>
      <c r="I39" s="1463">
        <f>SUM(I40:I43)</f>
        <v>0</v>
      </c>
      <c r="J39" s="1452"/>
      <c r="K39" s="1461"/>
      <c r="W39" s="1382">
        <v>11</v>
      </c>
    </row>
    <row customHeight="1" ht="24">
      <c r="F40" s="1457" t="s">
        <v>1059</v>
      </c>
      <c r="G40" s="1465" t="s">
        <v>1060</v>
      </c>
      <c r="H40" s="1463">
        <f>SUM(I40:J40)</f>
        <v>0</v>
      </c>
      <c r="I40" s="1462"/>
      <c r="J40" s="1452"/>
      <c r="K40" s="1461"/>
      <c r="W40" s="1382">
        <v>23</v>
      </c>
    </row>
    <row customHeight="1" ht="11.549999999999999">
      <c r="F41" s="1457" t="s">
        <v>1061</v>
      </c>
      <c r="G41" s="1465" t="s">
        <v>1062</v>
      </c>
      <c r="H41" s="1463">
        <f>SUM(I41:J41)</f>
        <v>0</v>
      </c>
      <c r="I41" s="1462"/>
      <c r="J41" s="1452"/>
      <c r="K41" s="1461"/>
      <c r="W41" s="1382">
        <v>11</v>
      </c>
    </row>
    <row customHeight="1" ht="11.549999999999999">
      <c r="F42" s="1457" t="s">
        <v>1063</v>
      </c>
      <c r="G42" s="1465" t="s">
        <v>1064</v>
      </c>
      <c r="H42" s="1463">
        <f>SUM(I42:J42)</f>
        <v>0</v>
      </c>
      <c r="I42" s="1462"/>
      <c r="J42" s="1452"/>
      <c r="K42" s="1461"/>
      <c r="W42" s="1382">
        <v>11</v>
      </c>
    </row>
    <row customHeight="1" ht="35.699999999999996">
      <c r="F43" s="1457" t="s">
        <v>1065</v>
      </c>
      <c r="G43" s="1465" t="s">
        <v>1066</v>
      </c>
      <c r="H43" s="1463">
        <f>SUM(I43:J43)</f>
        <v>0</v>
      </c>
      <c r="I43" s="1462"/>
      <c r="J43" s="1452"/>
      <c r="K43" s="1461"/>
      <c r="W43" s="1382">
        <v>34</v>
      </c>
    </row>
    <row customHeight="1" ht="11.549999999999999">
      <c r="F44" s="1457" t="s">
        <v>1025</v>
      </c>
      <c r="G44" s="1464" t="s">
        <v>1051</v>
      </c>
      <c r="H44" s="1463">
        <f>SUM(I44:J44)</f>
        <v>0</v>
      </c>
      <c r="I44" s="1463">
        <f>SUM(I45:I46)</f>
        <v>0</v>
      </c>
      <c r="J44" s="1452"/>
      <c r="K44" s="1461"/>
      <c r="W44" s="1382">
        <v>11</v>
      </c>
    </row>
    <row customHeight="1" ht="48.29999999999999">
      <c r="F45" s="1457" t="s">
        <v>1067</v>
      </c>
      <c r="G45" s="1465" t="s">
        <v>1052</v>
      </c>
      <c r="H45" s="1463">
        <f>SUM(I45:J45)</f>
        <v>0</v>
      </c>
      <c r="I45" s="1462"/>
      <c r="J45" s="1452"/>
      <c r="K45" s="1461"/>
      <c r="W45" s="1382">
        <v>46</v>
      </c>
    </row>
    <row customHeight="1" ht="11.549999999999999">
      <c r="F46" s="1457" t="s">
        <v>1068</v>
      </c>
      <c r="G46" s="1465" t="s">
        <v>1053</v>
      </c>
      <c r="H46" s="1463">
        <f>SUM(I46:J46)</f>
        <v>0</v>
      </c>
      <c r="I46" s="1462"/>
      <c r="J46" s="1452"/>
      <c r="K46" s="1461"/>
      <c r="W46" s="1382">
        <v>11</v>
      </c>
    </row>
    <row customHeight="1" ht="11.549999999999999">
      <c r="F47" s="1457" t="s">
        <v>1027</v>
      </c>
      <c r="G47" s="1464" t="s">
        <v>1069</v>
      </c>
      <c r="H47" s="1463">
        <f>SUM(I47:J47)</f>
        <v>0</v>
      </c>
      <c r="I47" s="1462"/>
      <c r="J47" s="1452"/>
      <c r="K47" s="1461"/>
      <c r="W47" s="1382">
        <v>11</v>
      </c>
    </row>
    <row customHeight="1" ht="24">
      <c r="F48" s="1457" t="s">
        <v>109</v>
      </c>
      <c r="G48" s="917" t="s">
        <v>1070</v>
      </c>
      <c r="H48" s="1463">
        <f>SUM(I48:J48)</f>
        <v>0</v>
      </c>
      <c r="I48" s="1463">
        <f>SUM(I49,I54,I57)</f>
        <v>0</v>
      </c>
      <c r="J48" s="1452"/>
      <c r="K48" s="1461"/>
      <c r="W48" s="1382">
        <v>23</v>
      </c>
    </row>
    <row customHeight="1" ht="11.549999999999999">
      <c r="F49" s="1457" t="s">
        <v>710</v>
      </c>
      <c r="G49" s="1464" t="s">
        <v>1022</v>
      </c>
      <c r="H49" s="1463">
        <f>SUM(I49:J49)</f>
        <v>0</v>
      </c>
      <c r="I49" s="1463">
        <f>SUM(I50:I53)</f>
        <v>0</v>
      </c>
      <c r="J49" s="1452"/>
      <c r="K49" s="1461"/>
      <c r="W49" s="1382">
        <v>11</v>
      </c>
    </row>
    <row customHeight="1" ht="24">
      <c r="F50" s="1457" t="s">
        <v>713</v>
      </c>
      <c r="G50" s="1465" t="s">
        <v>1060</v>
      </c>
      <c r="H50" s="1463">
        <f>SUM(I50:J50)</f>
        <v>0</v>
      </c>
      <c r="I50" s="1462"/>
      <c r="J50" s="1452"/>
      <c r="K50" s="1461"/>
      <c r="W50" s="1382">
        <v>23</v>
      </c>
    </row>
    <row customHeight="1" ht="11.549999999999999">
      <c r="F51" s="1457" t="s">
        <v>716</v>
      </c>
      <c r="G51" s="1465" t="s">
        <v>1062</v>
      </c>
      <c r="H51" s="1463">
        <f>SUM(I51:J51)</f>
        <v>0</v>
      </c>
      <c r="I51" s="1462"/>
      <c r="J51" s="1452"/>
      <c r="K51" s="1461"/>
      <c r="W51" s="1382">
        <v>11</v>
      </c>
    </row>
    <row customHeight="1" ht="11.549999999999999">
      <c r="F52" s="1457" t="s">
        <v>1071</v>
      </c>
      <c r="G52" s="1465" t="s">
        <v>1064</v>
      </c>
      <c r="H52" s="1463">
        <f>SUM(I52:J52)</f>
        <v>0</v>
      </c>
      <c r="I52" s="1462"/>
      <c r="J52" s="1452"/>
      <c r="K52" s="1461"/>
      <c r="W52" s="1382">
        <v>11</v>
      </c>
    </row>
    <row customHeight="1" ht="35.699999999999996">
      <c r="F53" s="1457" t="s">
        <v>1072</v>
      </c>
      <c r="G53" s="1465" t="s">
        <v>1066</v>
      </c>
      <c r="H53" s="1463">
        <f>SUM(I53:J53)</f>
        <v>0</v>
      </c>
      <c r="I53" s="1462"/>
      <c r="J53" s="1452"/>
      <c r="K53" s="1461"/>
      <c r="W53" s="1382">
        <v>34</v>
      </c>
    </row>
    <row customHeight="1" ht="11.549999999999999">
      <c r="F54" s="1457" t="s">
        <v>309</v>
      </c>
      <c r="G54" s="1464" t="s">
        <v>1051</v>
      </c>
      <c r="H54" s="1463">
        <f>SUM(I54:J54)</f>
        <v>0</v>
      </c>
      <c r="I54" s="1463">
        <f>SUM(I55:I56)</f>
        <v>0</v>
      </c>
      <c r="J54" s="1452"/>
      <c r="K54" s="1461"/>
      <c r="W54" s="1382">
        <v>11</v>
      </c>
    </row>
    <row customHeight="1" ht="48.29999999999999">
      <c r="F55" s="1457" t="s">
        <v>720</v>
      </c>
      <c r="G55" s="1465" t="s">
        <v>1052</v>
      </c>
      <c r="H55" s="1463">
        <f>SUM(I55:J55)</f>
        <v>0</v>
      </c>
      <c r="I55" s="1462"/>
      <c r="J55" s="1452"/>
      <c r="K55" s="1461"/>
      <c r="W55" s="1382">
        <v>46</v>
      </c>
    </row>
    <row customHeight="1" ht="11.549999999999999">
      <c r="F56" s="1457" t="s">
        <v>722</v>
      </c>
      <c r="G56" s="1465" t="s">
        <v>1053</v>
      </c>
      <c r="H56" s="1463">
        <f>SUM(I56:J56)</f>
        <v>0</v>
      </c>
      <c r="I56" s="1462"/>
      <c r="J56" s="1452"/>
      <c r="K56" s="1461"/>
      <c r="W56" s="1382">
        <v>11</v>
      </c>
    </row>
    <row customHeight="1" ht="11.549999999999999">
      <c r="F57" s="1457" t="s">
        <v>312</v>
      </c>
      <c r="G57" s="1464" t="s">
        <v>1069</v>
      </c>
      <c r="H57" s="1463">
        <f>SUM(I57:J57)</f>
        <v>0</v>
      </c>
      <c r="I57" s="1462"/>
      <c r="J57" s="1452"/>
      <c r="K57" s="1461"/>
      <c r="W57" s="1382">
        <v>11</v>
      </c>
    </row>
    <row customHeight="1" ht="11.549999999999999">
      <c r="F58" s="1457"/>
      <c r="G58" s="1466" t="s">
        <v>1055</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E5578-C8FA-6D68-E8B6-F40CF6D7DE5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254" width="4.7109375" hidden="1" customWidth="1"/>
    <col min="2" max="2" style="13260" width="4.7109375" hidden="1" customWidth="1"/>
    <col min="3" max="4" style="13254" width="4.7109375" hidden="1" customWidth="1"/>
    <col min="5" max="5" style="13254" width="3.00390625" customWidth="1"/>
    <col min="6" max="6" style="13254" width="6.00390625" customWidth="1"/>
    <col min="7" max="7" style="13254" width="18.00390625" customWidth="1"/>
    <col min="8" max="8" style="13254" width="27.00390625" customWidth="1"/>
    <col min="9" max="9" style="13254" width="18.00390625" customWidth="1"/>
    <col min="10" max="14" style="13254" width="0.8515625" hidden="1" customWidth="1"/>
    <col min="15" max="28" style="13254" width="21.7109375" hidden="1" customWidth="1"/>
    <col min="29" max="71" style="13254" width="0.8515625" hidden="1" customWidth="1"/>
    <col min="72" max="79" style="13254" width="21.7109375" customWidth="1"/>
    <col min="80" max="81" style="13254" width="29.140625" customWidth="1"/>
    <col min="82" max="89" style="13254" width="21.7109375" customWidth="1"/>
    <col min="90" max="102" style="13254" width="0.7109375" customWidth="1"/>
    <col min="103" max="114" style="13254" width="21.7109375" hidden="1" customWidth="1"/>
    <col min="115" max="178" style="13254" width="0.7109375" hidden="1" customWidth="1"/>
    <col min="179" max="179" style="13254" width="0.140625" customWidth="1"/>
    <col min="180" max="184" style="13254" width="8.00390625" customWidth="1"/>
    <col min="185" max="185" style="13254" width="9.140625" hidden="1"/>
  </cols>
  <sheetData>
    <row s="13184" customFormat="1" customHeight="1" ht="12" hidden="1">
      <c r="B1" s="1150"/>
      <c r="C1" s="1151"/>
      <c r="D1" s="1151"/>
      <c r="GC1" s="1149" t="s">
        <v>14</v>
      </c>
    </row>
    <row s="13184"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184"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194"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199" customFormat="1" customHeight="1" ht="18.75">
      <c r="B6" s="1170"/>
      <c r="E6" s="1172"/>
      <c r="F6" s="2441" t="str">
        <f>IF(org=0,"Не определено",org)</f>
        <v>ООО "Рыбинская генерация"</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203"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203" customFormat="1" customHeight="1" ht="11.25" hidden="1">
      <c r="B8" s="1161"/>
      <c r="F8" s="1283"/>
      <c r="G8" s="990"/>
      <c r="H8" s="587"/>
      <c r="I8" s="587"/>
      <c r="J8" s="587"/>
      <c r="K8" s="587"/>
      <c r="L8" s="587"/>
      <c r="M8" s="1283"/>
      <c r="N8" s="1283"/>
      <c r="O8" s="2677" t="s">
        <v>1073</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1074</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203"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203" customFormat="1" customHeight="1" ht="11.549999999999999">
      <c r="B10" s="1161"/>
      <c r="F10" s="2656" t="s">
        <v>302</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1075</v>
      </c>
      <c r="H11" s="2664" t="s">
        <v>1076</v>
      </c>
      <c r="I11" s="2664" t="s">
        <v>1077</v>
      </c>
      <c r="J11" s="2665"/>
      <c r="K11" s="2665"/>
      <c r="L11" s="2665"/>
      <c r="M11" s="2665"/>
      <c r="N11" s="2665"/>
      <c r="O11" s="2436" t="s">
        <v>1078</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1078</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1078</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1079</v>
      </c>
      <c r="P12" s="2436"/>
      <c r="Q12" s="2436"/>
      <c r="R12" s="2436"/>
      <c r="S12" s="2436" t="s">
        <v>1080</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1081</v>
      </c>
      <c r="BU12" s="2614"/>
      <c r="BV12" s="2614"/>
      <c r="BW12" s="2660"/>
      <c r="BX12" s="2613" t="s">
        <v>1082</v>
      </c>
      <c r="BY12" s="2614"/>
      <c r="BZ12" s="2614"/>
      <c r="CA12" s="2660"/>
      <c r="CB12" s="2613" t="s">
        <v>1083</v>
      </c>
      <c r="CC12" s="2660"/>
      <c r="CD12" s="2613" t="s">
        <v>1084</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1085</v>
      </c>
      <c r="CZ12" s="2614"/>
      <c r="DA12" s="2614"/>
      <c r="DB12" s="2614"/>
      <c r="DC12" s="2614"/>
      <c r="DD12" s="2660"/>
      <c r="DE12" s="2613" t="s">
        <v>1086</v>
      </c>
      <c r="DF12" s="2660"/>
      <c r="DG12" s="2613" t="s">
        <v>1084</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1087</v>
      </c>
      <c r="P13" s="2436"/>
      <c r="Q13" s="2436"/>
      <c r="R13" s="2436"/>
      <c r="S13" s="2563" t="s">
        <v>1088</v>
      </c>
      <c r="T13" s="2615"/>
      <c r="U13" s="2354" t="s">
        <v>1089</v>
      </c>
      <c r="V13" s="2354"/>
      <c r="W13" s="2354"/>
      <c r="X13" s="2354"/>
      <c r="Y13" s="2354" t="s">
        <v>1090</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1091</v>
      </c>
      <c r="BU13" s="2615"/>
      <c r="BV13" s="2563" t="s">
        <v>1092</v>
      </c>
      <c r="BW13" s="2615"/>
      <c r="BX13" s="2563" t="s">
        <v>1093</v>
      </c>
      <c r="BY13" s="2615"/>
      <c r="BZ13" s="2563" t="s">
        <v>1094</v>
      </c>
      <c r="CA13" s="2615"/>
      <c r="CB13" s="2563" t="s">
        <v>1095</v>
      </c>
      <c r="CC13" s="2615"/>
      <c r="CD13" s="2563" t="s">
        <v>1096</v>
      </c>
      <c r="CE13" s="2615"/>
      <c r="CF13" s="2563" t="s">
        <v>1097</v>
      </c>
      <c r="CG13" s="2615"/>
      <c r="CH13" s="2613" t="s">
        <v>1098</v>
      </c>
      <c r="CI13" s="2614"/>
      <c r="CJ13" s="2614"/>
      <c r="CK13" s="2660"/>
      <c r="CL13" s="2663"/>
      <c r="CM13" s="2661"/>
      <c r="CN13" s="2661"/>
      <c r="CO13" s="2661"/>
      <c r="CP13" s="2661"/>
      <c r="CQ13" s="2661"/>
      <c r="CR13" s="2661"/>
      <c r="CS13" s="2661"/>
      <c r="CT13" s="2661"/>
      <c r="CU13" s="2661"/>
      <c r="CV13" s="2661"/>
      <c r="CW13" s="2661"/>
      <c r="CX13" s="2680"/>
      <c r="CY13" s="2563" t="s">
        <v>1099</v>
      </c>
      <c r="CZ13" s="2615"/>
      <c r="DA13" s="2563" t="s">
        <v>1100</v>
      </c>
      <c r="DB13" s="2615"/>
      <c r="DC13" s="2563" t="s">
        <v>1101</v>
      </c>
      <c r="DD13" s="2615"/>
      <c r="DE13" s="2563" t="s">
        <v>1102</v>
      </c>
      <c r="DF13" s="2615"/>
      <c r="DG13" s="2613" t="s">
        <v>1103</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1104</v>
      </c>
      <c r="P14" s="2615"/>
      <c r="Q14" s="2563" t="s">
        <v>1105</v>
      </c>
      <c r="R14" s="2615"/>
      <c r="S14" s="2564"/>
      <c r="T14" s="2440"/>
      <c r="U14" s="2563" t="s">
        <v>837</v>
      </c>
      <c r="V14" s="2615"/>
      <c r="W14" s="2563" t="s">
        <v>840</v>
      </c>
      <c r="X14" s="2615"/>
      <c r="Y14" s="2563" t="s">
        <v>837</v>
      </c>
      <c r="Z14" s="2615"/>
      <c r="AA14" s="2563" t="s">
        <v>847</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1106</v>
      </c>
      <c r="CI14" s="2615"/>
      <c r="CJ14" s="2563" t="s">
        <v>1107</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1108</v>
      </c>
      <c r="DH14" s="2615"/>
      <c r="DI14" s="2563" t="s">
        <v>1109</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827</v>
      </c>
      <c r="P16" s="2660"/>
      <c r="Q16" s="2613" t="s">
        <v>829</v>
      </c>
      <c r="R16" s="2660"/>
      <c r="S16" s="2613" t="s">
        <v>833</v>
      </c>
      <c r="T16" s="2660"/>
      <c r="U16" s="2613" t="s">
        <v>838</v>
      </c>
      <c r="V16" s="2660"/>
      <c r="W16" s="2613" t="s">
        <v>841</v>
      </c>
      <c r="X16" s="2660"/>
      <c r="Y16" s="2613" t="s">
        <v>845</v>
      </c>
      <c r="Z16" s="2660"/>
      <c r="AA16" s="2613" t="s">
        <v>848</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560</v>
      </c>
      <c r="BU16" s="2660"/>
      <c r="BV16" s="2613" t="s">
        <v>560</v>
      </c>
      <c r="BW16" s="2660"/>
      <c r="BX16" s="2613" t="s">
        <v>560</v>
      </c>
      <c r="BY16" s="2660"/>
      <c r="BZ16" s="2613" t="s">
        <v>560</v>
      </c>
      <c r="CA16" s="2660"/>
      <c r="CB16" s="2613" t="s">
        <v>1110</v>
      </c>
      <c r="CC16" s="2660"/>
      <c r="CD16" s="2613" t="s">
        <v>560</v>
      </c>
      <c r="CE16" s="2660"/>
      <c r="CF16" s="2613" t="s">
        <v>1111</v>
      </c>
      <c r="CG16" s="2660"/>
      <c r="CH16" s="2613" t="s">
        <v>1112</v>
      </c>
      <c r="CI16" s="2660"/>
      <c r="CJ16" s="2613" t="s">
        <v>1112</v>
      </c>
      <c r="CK16" s="2660"/>
      <c r="CL16" s="2663"/>
      <c r="CM16" s="2661"/>
      <c r="CN16" s="2661"/>
      <c r="CO16" s="2661"/>
      <c r="CP16" s="2661"/>
      <c r="CQ16" s="2661"/>
      <c r="CR16" s="2661"/>
      <c r="CS16" s="2661"/>
      <c r="CT16" s="2661"/>
      <c r="CU16" s="2661"/>
      <c r="CV16" s="2661"/>
      <c r="CW16" s="2661"/>
      <c r="CX16" s="2680"/>
      <c r="CY16" s="2563" t="s">
        <v>560</v>
      </c>
      <c r="CZ16" s="2615"/>
      <c r="DA16" s="2563" t="s">
        <v>560</v>
      </c>
      <c r="DB16" s="2615"/>
      <c r="DC16" s="2563" t="s">
        <v>560</v>
      </c>
      <c r="DD16" s="2615"/>
      <c r="DE16" s="2613" t="s">
        <v>1110</v>
      </c>
      <c r="DF16" s="2660"/>
      <c r="DG16" s="2613" t="s">
        <v>1113</v>
      </c>
      <c r="DH16" s="2660"/>
      <c r="DI16" s="2613" t="s">
        <v>1113</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1114</v>
      </c>
      <c r="P17" s="1418" t="s">
        <v>1115</v>
      </c>
      <c r="Q17" s="1418" t="s">
        <v>1114</v>
      </c>
      <c r="R17" s="1418" t="s">
        <v>1115</v>
      </c>
      <c r="S17" s="1418" t="s">
        <v>1114</v>
      </c>
      <c r="T17" s="1418" t="s">
        <v>1115</v>
      </c>
      <c r="U17" s="1418" t="s">
        <v>1114</v>
      </c>
      <c r="V17" s="1418" t="s">
        <v>1115</v>
      </c>
      <c r="W17" s="1418" t="s">
        <v>1114</v>
      </c>
      <c r="X17" s="1418" t="s">
        <v>1115</v>
      </c>
      <c r="Y17" s="1418" t="s">
        <v>1114</v>
      </c>
      <c r="Z17" s="1418" t="s">
        <v>1115</v>
      </c>
      <c r="AA17" s="1418" t="s">
        <v>1114</v>
      </c>
      <c r="AB17" s="1418" t="s">
        <v>1115</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1114</v>
      </c>
      <c r="BU17" s="1418" t="s">
        <v>1115</v>
      </c>
      <c r="BV17" s="1418" t="s">
        <v>1114</v>
      </c>
      <c r="BW17" s="1418" t="s">
        <v>1115</v>
      </c>
      <c r="BX17" s="1418" t="s">
        <v>1114</v>
      </c>
      <c r="BY17" s="1418" t="s">
        <v>1115</v>
      </c>
      <c r="BZ17" s="1418" t="s">
        <v>1114</v>
      </c>
      <c r="CA17" s="1418" t="s">
        <v>1115</v>
      </c>
      <c r="CB17" s="1418" t="s">
        <v>1114</v>
      </c>
      <c r="CC17" s="1418" t="s">
        <v>1115</v>
      </c>
      <c r="CD17" s="1418" t="s">
        <v>1114</v>
      </c>
      <c r="CE17" s="1418" t="s">
        <v>1115</v>
      </c>
      <c r="CF17" s="1418" t="s">
        <v>1114</v>
      </c>
      <c r="CG17" s="1418" t="s">
        <v>1115</v>
      </c>
      <c r="CH17" s="1418" t="s">
        <v>1114</v>
      </c>
      <c r="CI17" s="1418" t="s">
        <v>1115</v>
      </c>
      <c r="CJ17" s="1418" t="s">
        <v>1114</v>
      </c>
      <c r="CK17" s="1418" t="s">
        <v>1115</v>
      </c>
      <c r="CL17" s="2663"/>
      <c r="CM17" s="2661"/>
      <c r="CN17" s="2661"/>
      <c r="CO17" s="2661"/>
      <c r="CP17" s="2661"/>
      <c r="CQ17" s="2661"/>
      <c r="CR17" s="2661"/>
      <c r="CS17" s="2661"/>
      <c r="CT17" s="2661"/>
      <c r="CU17" s="2661"/>
      <c r="CV17" s="2661"/>
      <c r="CW17" s="2661"/>
      <c r="CX17" s="2680"/>
      <c r="CY17" s="1418" t="s">
        <v>1114</v>
      </c>
      <c r="CZ17" s="1418" t="s">
        <v>1115</v>
      </c>
      <c r="DA17" s="1418" t="s">
        <v>1114</v>
      </c>
      <c r="DB17" s="1418" t="s">
        <v>1115</v>
      </c>
      <c r="DC17" s="1418" t="s">
        <v>1114</v>
      </c>
      <c r="DD17" s="1418" t="s">
        <v>1115</v>
      </c>
      <c r="DE17" s="1418" t="s">
        <v>1114</v>
      </c>
      <c r="DF17" s="1418" t="s">
        <v>1115</v>
      </c>
      <c r="DG17" s="1418" t="s">
        <v>1114</v>
      </c>
      <c r="DH17" s="1418" t="s">
        <v>1115</v>
      </c>
      <c r="DI17" s="1418" t="s">
        <v>1114</v>
      </c>
      <c r="DJ17" s="1418" t="s">
        <v>1115</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184"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184"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184" customFormat="1" customHeight="1" ht="11.25" hidden="1">
      <c r="B20" s="1167"/>
      <c r="D20" s="1151"/>
      <c r="E20" s="1166"/>
      <c r="F20" s="1424" t="s">
        <v>378</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184"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184" customFormat="1" customHeight="1" ht="12.75">
      <c r="A22" s="1168"/>
      <c r="B22" s="1168"/>
      <c r="C22" s="1168"/>
      <c r="D22" s="1168"/>
      <c r="E22" s="1168"/>
      <c r="FX22" s="1168"/>
      <c r="FY22" s="1168"/>
      <c r="FZ22" s="1168"/>
      <c r="GA22" s="1168"/>
      <c r="GB22" s="1168"/>
      <c r="GC22" s="1149">
        <v>12</v>
      </c>
    </row>
    <row s="13254"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0FA51-0EDA-E73D-AAD8-21B3F1424E8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24" width="9.140625" hidden="1" customWidth="1"/>
    <col min="2" max="2" style="11160" width="9.140625" hidden="1" customWidth="1"/>
    <col min="3" max="3" style="13078" width="4.00390625" customWidth="1"/>
    <col min="4" max="4" style="11160" width="6.00390625" customWidth="1"/>
    <col min="5" max="5" style="11160" width="36.00390625" customWidth="1"/>
    <col min="6" max="6" style="11160" width="9.00390625" customWidth="1"/>
    <col min="7" max="7" style="11160" width="42.421875" hidden="1" customWidth="1"/>
    <col min="8" max="8" style="11160" width="40.7109375" customWidth="1"/>
    <col min="9" max="9" style="11238" width="93.00390625" customWidth="1"/>
    <col min="10" max="17" style="11160" width="10.00390625" customWidth="1"/>
    <col min="18" max="18" style="13079" width="10.00390625" customWidth="1"/>
    <col min="19" max="19" style="11160" width="10.57421875" hidden="1"/>
  </cols>
  <sheetData>
    <row s="11238" customFormat="1" customHeight="1" ht="15" hidden="1">
      <c r="C1" s="899"/>
      <c r="H1" s="644">
        <v>4</v>
      </c>
      <c r="R1" s="647"/>
      <c r="S1" s="644" t="s">
        <v>14</v>
      </c>
    </row>
    <row customHeight="1" ht="22.5" hidden="1">
      <c r="C2" s="2155" t="s">
        <v>531</v>
      </c>
      <c r="D2" s="766"/>
      <c r="E2" s="890"/>
      <c r="F2" s="1988" t="str">
        <f>IF(TEMPLATE_SPHERE="HEAT","Гкал/час","тыс. куб. м/сутки")</f>
        <v>тыс. куб. м/сутки</v>
      </c>
      <c r="G2" s="907"/>
      <c r="H2" s="907"/>
      <c r="I2" s="516"/>
      <c r="S2" s="732">
        <v>0</v>
      </c>
    </row>
    <row s="11238"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ООО "Рыбинская генерация"</v>
      </c>
      <c r="E6" s="2403"/>
      <c r="F6" s="2403"/>
      <c r="G6" s="2403"/>
      <c r="H6" s="2403"/>
      <c r="I6" s="764"/>
      <c r="S6" s="732">
        <v>15</v>
      </c>
    </row>
    <row s="11160"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303</v>
      </c>
      <c r="S9" s="732">
        <v>15</v>
      </c>
    </row>
    <row s="11160" customFormat="1" customHeight="1" ht="15.75">
      <c r="A10" s="986"/>
      <c r="C10" s="403"/>
      <c r="D10" s="938"/>
      <c r="E10" s="2594" t="s">
        <v>566</v>
      </c>
      <c r="F10" s="2595"/>
      <c r="G10" s="1043" t="str">
        <f>IF(G8="","",INDEX(DIFFERENTIATION_UNMERGE_AREA,MATCH(G8,DIFFERENTIATION_ID_DIFF,0)))</f>
        <v/>
      </c>
      <c r="H10" s="1043" t="str">
        <f>IF(H8="","",INDEX(DIFFERENTIATION_UNMERGE_AREA,MATCH(H8,DIFFERENTIATION_ID_DIFF,0)))</f>
        <v/>
      </c>
      <c r="I10" s="2354"/>
      <c r="R10" s="902"/>
      <c r="S10" s="985">
        <v>15</v>
      </c>
    </row>
    <row s="11160" customFormat="1" customHeight="1" ht="15.75">
      <c r="A11" s="986"/>
      <c r="C11" s="403"/>
      <c r="D11" s="938"/>
      <c r="E11" s="2594" t="s">
        <v>567</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160" customFormat="1" customHeight="1" ht="15.75">
      <c r="A12" s="986"/>
      <c r="C12" s="403"/>
      <c r="D12" s="2596" t="s">
        <v>302</v>
      </c>
      <c r="E12" s="2597"/>
      <c r="F12" s="2597"/>
      <c r="G12" s="1114"/>
      <c r="H12" s="1114"/>
      <c r="I12" s="2354"/>
      <c r="R12" s="902"/>
      <c r="S12" s="985">
        <v>15</v>
      </c>
    </row>
    <row customHeight="1" ht="35.699999999999996">
      <c r="C13" s="403"/>
      <c r="D13" s="988" t="s">
        <v>87</v>
      </c>
      <c r="E13" s="987" t="s">
        <v>304</v>
      </c>
      <c r="F13" s="987" t="s">
        <v>568</v>
      </c>
      <c r="G13" s="1035" t="s">
        <v>305</v>
      </c>
      <c r="H13" s="981" t="s">
        <v>305</v>
      </c>
      <c r="I13" s="2354"/>
      <c r="S13" s="732">
        <v>34</v>
      </c>
    </row>
    <row customHeight="1" ht="15" hidden="1">
      <c r="C14" s="403"/>
      <c r="D14" s="820" t="s">
        <v>108</v>
      </c>
      <c r="E14" s="820" t="s">
        <v>109</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1116</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1116</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1116</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308</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1117</v>
      </c>
      <c r="E20" s="915"/>
      <c r="F20" s="736"/>
      <c r="G20" s="736"/>
      <c r="H20" s="736"/>
      <c r="I20" s="1990"/>
      <c r="S20" s="732">
        <v>0</v>
      </c>
    </row>
    <row customHeight="1" ht="29.25">
      <c r="C21" s="678"/>
      <c r="D21" s="766" t="s">
        <v>315</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1118</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4125-16B4-E7B9-6AE9-1D9CB5CD31C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054" width="9.140625" hidden="1" customWidth="1"/>
    <col min="2" max="2" style="11238" width="9.140625" hidden="1" customWidth="1"/>
    <col min="3" max="3" style="12055" width="3.00390625" customWidth="1"/>
    <col min="4" max="4" style="11160" width="6.00390625" customWidth="1"/>
    <col min="5" max="6" style="11160" width="64.00390625" customWidth="1"/>
    <col min="7" max="7" style="11160" width="140.00390625" customWidth="1"/>
    <col min="8" max="8" style="11160" width="10.00390625" customWidth="1"/>
    <col min="9" max="10" style="11328" width="10.00390625" customWidth="1"/>
    <col min="11" max="16" style="11160" width="10.00390625" customWidth="1"/>
    <col min="17" max="17" style="1116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1160" customFormat="1" customHeight="1" ht="18.75">
      <c r="A6" s="1109"/>
      <c r="B6" s="644"/>
      <c r="C6" s="603"/>
      <c r="D6" s="2684" t="str">
        <f>IF(org=0,"Не определено",org)</f>
        <v>ООО "Рыбинская генерация"</v>
      </c>
      <c r="E6" s="2685"/>
      <c r="F6" s="2685"/>
      <c r="G6" s="2686"/>
      <c r="I6" s="727"/>
      <c r="J6" s="727"/>
      <c r="Q6" s="985">
        <v>18</v>
      </c>
    </row>
    <row customHeight="1" ht="14.699999999999998">
      <c r="C7" s="323"/>
      <c r="D7" s="311"/>
      <c r="E7" s="322"/>
      <c r="F7" s="979"/>
      <c r="G7" s="420"/>
      <c r="Q7" s="310">
        <v>14</v>
      </c>
    </row>
    <row s="11160" customFormat="1" customHeight="1" ht="1.05">
      <c r="A8" s="1896"/>
      <c r="B8" s="1387"/>
      <c r="C8" s="603"/>
      <c r="D8" s="590"/>
      <c r="E8" s="616"/>
      <c r="F8" s="979"/>
      <c r="G8" s="420"/>
      <c r="I8" s="1851"/>
      <c r="J8" s="1851"/>
      <c r="Q8" s="1858">
        <v>1</v>
      </c>
    </row>
    <row customHeight="1" ht="14.699999999999998">
      <c r="C9" s="323"/>
      <c r="D9" s="2436" t="s">
        <v>302</v>
      </c>
      <c r="E9" s="2436"/>
      <c r="F9" s="2436"/>
      <c r="G9" s="2616" t="s">
        <v>303</v>
      </c>
      <c r="Q9" s="310">
        <v>14</v>
      </c>
    </row>
    <row customHeight="1" ht="24">
      <c r="C10" s="323"/>
      <c r="D10" s="332" t="s">
        <v>87</v>
      </c>
      <c r="E10" s="335" t="s">
        <v>304</v>
      </c>
      <c r="F10" s="335" t="s">
        <v>392</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308</v>
      </c>
      <c r="G12" s="378"/>
      <c r="Q12" s="310">
        <v>62</v>
      </c>
    </row>
    <row customHeight="1" ht="24">
      <c r="A13" s="419"/>
      <c r="C13" s="323"/>
      <c r="D13" s="374" t="s">
        <v>1023</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308</v>
      </c>
      <c r="G13" s="378"/>
      <c r="Q13" s="310">
        <v>23</v>
      </c>
    </row>
    <row customHeight="1" ht="14.699999999999998">
      <c r="A14" s="419"/>
      <c r="C14" s="323"/>
      <c r="D14" s="374" t="s">
        <v>1059</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1119</v>
      </c>
      <c r="F15" s="428"/>
      <c r="G15" s="2398"/>
      <c r="Q15" s="310">
        <v>15</v>
      </c>
    </row>
    <row customHeight="1" ht="14.699999999999998">
      <c r="A16" s="419"/>
      <c r="C16" s="323"/>
      <c r="D16" s="374" t="s">
        <v>1025</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308</v>
      </c>
      <c r="G16" s="564"/>
      <c r="Q16" s="310">
        <v>14</v>
      </c>
    </row>
    <row customHeight="1" ht="14.699999999999998">
      <c r="A17" s="419"/>
      <c r="C17" s="323"/>
      <c r="D17" s="374" t="s">
        <v>1067</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1160" customFormat="1" customHeight="1" ht="22.049999999999997">
      <c r="A18" s="570"/>
      <c r="B18" s="373"/>
      <c r="C18" s="534"/>
      <c r="D18" s="574"/>
      <c r="E18" s="576" t="s">
        <v>1120</v>
      </c>
      <c r="F18" s="565"/>
      <c r="G18" s="2398"/>
      <c r="I18" s="577"/>
      <c r="J18" s="577"/>
      <c r="Q18" s="569">
        <v>21</v>
      </c>
    </row>
    <row s="11160" customFormat="1" customHeight="1" ht="256.5" hidden="1">
      <c r="A19" s="570"/>
      <c r="B19" s="644"/>
      <c r="C19" s="603"/>
      <c r="D19" s="1111" t="s">
        <v>1027</v>
      </c>
      <c r="E19" s="1110" t="s">
        <v>1121</v>
      </c>
      <c r="F19" s="612"/>
      <c r="G19" s="564" t="s">
        <v>1122</v>
      </c>
      <c r="I19" s="727"/>
      <c r="J19" s="727"/>
      <c r="Q19" s="985">
        <v>0</v>
      </c>
    </row>
    <row s="11160" customFormat="1" customHeight="1" ht="14.699999999999998">
      <c r="A20" s="570"/>
      <c r="B20" s="373"/>
      <c r="C20" s="534"/>
      <c r="D20" s="1112">
        <v>2</v>
      </c>
      <c r="E20" s="557" t="s">
        <v>1123</v>
      </c>
      <c r="F20" s="425" t="s">
        <v>308</v>
      </c>
      <c r="G20" s="564"/>
      <c r="I20" s="577"/>
      <c r="J20" s="577"/>
      <c r="Q20" s="569">
        <v>14</v>
      </c>
    </row>
    <row s="11160" customFormat="1" customHeight="1" ht="18.75" hidden="1">
      <c r="A21" s="570"/>
      <c r="B21" s="373"/>
      <c r="C21" s="534"/>
      <c r="D21" s="560" t="s">
        <v>638</v>
      </c>
      <c r="E21" s="559"/>
      <c r="F21" s="558"/>
      <c r="G21" s="568"/>
      <c r="H21" s="561"/>
      <c r="I21" s="577"/>
      <c r="J21" s="577"/>
      <c r="Q21" s="569">
        <v>0</v>
      </c>
    </row>
    <row customHeight="1" ht="15.75">
      <c r="A22" s="419"/>
      <c r="C22" s="323"/>
      <c r="D22" s="336"/>
      <c r="E22" s="430" t="s">
        <v>324</v>
      </c>
      <c r="F22" s="565"/>
      <c r="G22" s="566"/>
      <c r="Q22" s="310">
        <v>15</v>
      </c>
    </row>
    <row s="11160" customFormat="1" customHeight="1" ht="22.5" hidden="1">
      <c r="A23" s="570"/>
      <c r="B23" s="1387"/>
      <c r="C23" s="603"/>
      <c r="D23" s="1900" t="s">
        <v>109</v>
      </c>
      <c r="E23" s="424" t="s">
        <v>1124</v>
      </c>
      <c r="F23" s="1897" t="s">
        <v>308</v>
      </c>
      <c r="G23" s="572"/>
      <c r="I23" s="1851"/>
      <c r="J23" s="1851"/>
      <c r="Q23" s="1858">
        <v>0</v>
      </c>
    </row>
    <row s="11160" customFormat="1" customHeight="1" ht="14.25" hidden="1">
      <c r="A24" s="570"/>
      <c r="B24" s="1387"/>
      <c r="C24" s="603"/>
      <c r="D24" s="1900" t="s">
        <v>710</v>
      </c>
      <c r="E24" s="1899" t="s">
        <v>1125</v>
      </c>
      <c r="F24" s="1897" t="s">
        <v>308</v>
      </c>
      <c r="G24" s="564"/>
      <c r="I24" s="1851"/>
      <c r="J24" s="1851"/>
      <c r="Q24" s="1858">
        <v>0</v>
      </c>
    </row>
    <row s="11160" customFormat="1" customHeight="1" ht="14.25" hidden="1">
      <c r="A25" s="570"/>
      <c r="B25" s="1387"/>
      <c r="C25" s="603"/>
      <c r="D25" s="1900" t="s">
        <v>713</v>
      </c>
      <c r="E25" s="422"/>
      <c r="F25" s="612"/>
      <c r="G25" s="2396" t="s">
        <v>1126</v>
      </c>
      <c r="I25" s="1851"/>
      <c r="J25" s="1851"/>
      <c r="Q25" s="1858">
        <v>0</v>
      </c>
    </row>
    <row s="11160" customFormat="1" customHeight="1" ht="22.5" hidden="1">
      <c r="A26" s="570"/>
      <c r="B26" s="1387"/>
      <c r="C26" s="603"/>
      <c r="D26" s="574"/>
      <c r="E26" s="576" t="s">
        <v>1127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3F078-3B26-11B1-742B-FF4D2438AF4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053" width="9.140625" hidden="1" customWidth="1"/>
    <col min="2" max="2" style="11238" width="9.140625" hidden="1" customWidth="1"/>
    <col min="3" max="3" style="12055" width="3.00390625" customWidth="1"/>
    <col min="4" max="4" style="11160" width="6.00390625" customWidth="1"/>
    <col min="5" max="5" style="11160" width="63.00390625" customWidth="1"/>
    <col min="6" max="6" style="11160" width="1.7109375" hidden="1" customWidth="1"/>
    <col min="7" max="8" style="11160" width="35.00390625" customWidth="1"/>
    <col min="9" max="9" style="11160" width="91.00390625" customWidth="1"/>
    <col min="10" max="10" style="11160" width="68.00390625" customWidth="1"/>
    <col min="11" max="12" style="11328" width="10.00390625" customWidth="1"/>
    <col min="13" max="13" style="11160" width="10.57421875" hidden="1"/>
  </cols>
  <sheetData>
    <row customHeight="1" ht="22.5" hidden="1">
      <c r="M1" s="310" t="s">
        <v>14</v>
      </c>
    </row>
    <row s="11160" customFormat="1" customHeight="1" ht="18.75" hidden="1">
      <c r="A2" s="1910"/>
      <c r="B2" s="1387"/>
      <c r="C2" s="1957" t="s">
        <v>531</v>
      </c>
      <c r="D2" s="1900"/>
      <c r="E2" s="426"/>
      <c r="F2" s="1897"/>
      <c r="G2" s="1897" t="s">
        <v>308</v>
      </c>
      <c r="H2" s="1388"/>
      <c r="K2" s="1851"/>
      <c r="L2" s="1851"/>
      <c r="M2" s="1858">
        <v>0</v>
      </c>
    </row>
    <row s="11160" customFormat="1" customHeight="1" ht="14.25" hidden="1">
      <c r="A3" s="1589"/>
      <c r="B3" s="1387"/>
      <c r="C3" s="571"/>
      <c r="K3" s="1851"/>
      <c r="L3" s="1851"/>
      <c r="M3" s="1858">
        <v>0</v>
      </c>
    </row>
    <row s="11160" customFormat="1" customHeight="1" ht="18.75" hidden="1">
      <c r="A4" s="1910"/>
      <c r="B4" s="1387"/>
      <c r="C4" s="1957" t="s">
        <v>531</v>
      </c>
      <c r="D4" s="1900"/>
      <c r="E4" s="432" t="s">
        <v>1128</v>
      </c>
      <c r="F4" s="1897"/>
      <c r="G4" s="484"/>
      <c r="H4" s="1897" t="s">
        <v>308</v>
      </c>
      <c r="K4" s="1851"/>
      <c r="L4" s="1851"/>
      <c r="M4" s="1858">
        <v>0</v>
      </c>
    </row>
    <row s="11160" customFormat="1" customHeight="1" ht="14.25" hidden="1">
      <c r="A5" s="1589"/>
      <c r="B5" s="1387"/>
      <c r="C5" s="571"/>
      <c r="K5" s="1851"/>
      <c r="L5" s="1851"/>
      <c r="M5" s="1858">
        <v>0</v>
      </c>
    </row>
    <row s="11160" customFormat="1" customHeight="1" ht="18.75" hidden="1">
      <c r="A6" s="1910"/>
      <c r="B6" s="1387"/>
      <c r="C6" s="1957" t="s">
        <v>531</v>
      </c>
      <c r="D6" s="1900"/>
      <c r="E6" s="433" t="s">
        <v>1129</v>
      </c>
      <c r="F6" s="1897"/>
      <c r="G6" s="484"/>
      <c r="H6" s="1897" t="s">
        <v>308</v>
      </c>
      <c r="K6" s="1851"/>
      <c r="L6" s="1851"/>
      <c r="M6" s="1858">
        <v>0</v>
      </c>
    </row>
    <row s="11160" customFormat="1" customHeight="1" ht="14.25" hidden="1">
      <c r="A7" s="1589"/>
      <c r="B7" s="1387"/>
      <c r="C7" s="571"/>
      <c r="K7" s="1851"/>
      <c r="L7" s="1851"/>
      <c r="M7" s="1858">
        <v>0</v>
      </c>
    </row>
    <row s="11160" customFormat="1" customHeight="1" ht="18.75" hidden="1">
      <c r="A8" s="1910"/>
      <c r="B8" s="1387"/>
      <c r="C8" s="1957" t="s">
        <v>531</v>
      </c>
      <c r="D8" s="1900"/>
      <c r="E8" s="433" t="s">
        <v>1130</v>
      </c>
      <c r="F8" s="1897"/>
      <c r="G8" s="484"/>
      <c r="H8" s="1897" t="s">
        <v>308</v>
      </c>
      <c r="K8" s="1851"/>
      <c r="L8" s="1851"/>
      <c r="M8" s="1858">
        <v>0</v>
      </c>
    </row>
    <row s="11160" customFormat="1" customHeight="1" ht="14.25" hidden="1">
      <c r="A9" s="1589"/>
      <c r="B9" s="1387"/>
      <c r="C9" s="571"/>
      <c r="K9" s="1851"/>
      <c r="L9" s="1851"/>
      <c r="M9" s="1858">
        <v>0</v>
      </c>
    </row>
    <row s="11160" customFormat="1" customHeight="1" ht="18.75" hidden="1">
      <c r="A10" s="1910"/>
      <c r="B10" s="1387"/>
      <c r="C10" s="1957" t="s">
        <v>531</v>
      </c>
      <c r="D10" s="1900"/>
      <c r="E10" s="433" t="s">
        <v>1131</v>
      </c>
      <c r="F10" s="1897"/>
      <c r="G10" s="1901"/>
      <c r="H10" s="1897" t="s">
        <v>308</v>
      </c>
      <c r="K10" s="1851"/>
      <c r="L10" s="1851" t="s">
        <v>1132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1160" customFormat="1" customHeight="1" ht="14.699999999999998">
      <c r="A15" s="1589"/>
      <c r="B15" s="1387"/>
      <c r="C15" s="603"/>
      <c r="D15" s="2684" t="str">
        <f>IF(org=0,"Не определено",org)</f>
        <v>ООО "Рыбинская генерация"</v>
      </c>
      <c r="E15" s="2685"/>
      <c r="F15" s="2685"/>
      <c r="G15" s="2685"/>
      <c r="H15" s="2686"/>
      <c r="J15" s="1079"/>
      <c r="K15" s="1851"/>
      <c r="L15" s="1851"/>
      <c r="M15" s="1858">
        <v>14</v>
      </c>
    </row>
    <row customHeight="1" ht="14.699999999999998">
      <c r="C16" s="323"/>
      <c r="D16" s="311"/>
      <c r="E16" s="322"/>
      <c r="F16" s="322"/>
      <c r="G16" s="322"/>
      <c r="H16" s="979"/>
      <c r="I16" s="420"/>
      <c r="M16" s="310">
        <v>14</v>
      </c>
    </row>
    <row s="11160" customFormat="1" customHeight="1" ht="14.25" hidden="1">
      <c r="A17" s="1589"/>
      <c r="B17" s="1387"/>
      <c r="C17" s="603"/>
      <c r="D17" s="590"/>
      <c r="E17" s="616"/>
      <c r="F17" s="616"/>
      <c r="G17" s="616"/>
      <c r="H17" s="979"/>
      <c r="I17" s="420"/>
      <c r="K17" s="1851"/>
      <c r="L17" s="1851"/>
      <c r="M17" s="1858">
        <v>0</v>
      </c>
    </row>
    <row customHeight="1" ht="22.049999999999997">
      <c r="C18" s="323"/>
      <c r="D18" s="2436" t="s">
        <v>302</v>
      </c>
      <c r="E18" s="2436"/>
      <c r="F18" s="2436"/>
      <c r="G18" s="2436"/>
      <c r="H18" s="2436"/>
      <c r="I18" s="2616" t="s">
        <v>303</v>
      </c>
      <c r="M18" s="310">
        <v>21</v>
      </c>
    </row>
    <row customHeight="1" ht="22.049999999999997">
      <c r="C19" s="323"/>
      <c r="D19" s="332" t="s">
        <v>87</v>
      </c>
      <c r="E19" s="335" t="s">
        <v>304</v>
      </c>
      <c r="F19" s="335"/>
      <c r="G19" s="335" t="s">
        <v>305</v>
      </c>
      <c r="H19" s="335" t="s">
        <v>392</v>
      </c>
      <c r="I19" s="2616"/>
      <c r="M19" s="310">
        <v>21</v>
      </c>
    </row>
    <row customHeight="1" ht="12" hidden="1">
      <c r="C20" s="323"/>
      <c r="D20" s="314"/>
      <c r="E20" s="314"/>
      <c r="F20" s="314"/>
      <c r="G20" s="314"/>
      <c r="H20" s="314"/>
      <c r="I20" s="314"/>
      <c r="M20" s="310">
        <v>0</v>
      </c>
    </row>
    <row customHeight="1" ht="14.699999999999998">
      <c r="A21" s="1910"/>
      <c r="C21" s="323"/>
      <c r="D21" s="374">
        <v>1</v>
      </c>
      <c r="E21" s="2688" t="s">
        <v>1133</v>
      </c>
      <c r="F21" s="2688"/>
      <c r="G21" s="2688"/>
      <c r="H21" s="2688"/>
      <c r="I21" s="435"/>
      <c r="M21" s="310">
        <v>14</v>
      </c>
    </row>
    <row customHeight="1" ht="21">
      <c r="A22" s="1910"/>
      <c r="C22" s="323"/>
      <c r="D22" s="374" t="s">
        <v>1023</v>
      </c>
      <c r="E22" s="421" t="s">
        <v>1134</v>
      </c>
      <c r="F22" s="425"/>
      <c r="G22" s="1964"/>
      <c r="H22" s="425" t="s">
        <v>308</v>
      </c>
      <c r="I22" s="378" t="s">
        <v>1135</v>
      </c>
      <c r="M22" s="310">
        <v>20</v>
      </c>
    </row>
    <row customHeight="1" ht="60">
      <c r="A23" s="1910"/>
      <c r="C23" s="323"/>
      <c r="D23" s="374" t="s">
        <v>1025</v>
      </c>
      <c r="E23" s="421" t="s">
        <v>1136</v>
      </c>
      <c r="F23" s="425"/>
      <c r="G23" s="484"/>
      <c r="H23" s="440"/>
      <c r="I23" s="485" t="s">
        <v>1137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308</v>
      </c>
      <c r="H24" s="440"/>
      <c r="I24" s="486" t="s">
        <v>633</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326</v>
      </c>
      <c r="E26" s="426"/>
      <c r="F26" s="425"/>
      <c r="G26" s="425" t="s">
        <v>308</v>
      </c>
      <c r="H26" s="440"/>
      <c r="I26" s="2396" t="s">
        <v>1138</v>
      </c>
      <c r="M26" s="310">
        <v>14</v>
      </c>
    </row>
    <row customHeight="1" ht="15.75">
      <c r="A27" s="1910" t="s">
        <v>108</v>
      </c>
      <c r="C27" s="323"/>
      <c r="D27" s="336"/>
      <c r="E27" s="430" t="s">
        <v>324</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755</v>
      </c>
      <c r="E29" s="432" t="s">
        <v>1128</v>
      </c>
      <c r="F29" s="425"/>
      <c r="G29" s="484"/>
      <c r="H29" s="425" t="s">
        <v>308</v>
      </c>
      <c r="I29" s="2396" t="s">
        <v>1139</v>
      </c>
      <c r="M29" s="310">
        <v>20</v>
      </c>
    </row>
    <row customHeight="1" ht="15.75">
      <c r="A30" s="1910" t="s">
        <v>109</v>
      </c>
      <c r="C30" s="323"/>
      <c r="D30" s="336"/>
      <c r="E30" s="430" t="s">
        <v>324</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315</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0"/>
      <c r="G32" s="2630"/>
      <c r="H32" s="2630"/>
      <c r="I32" s="483"/>
      <c r="M32" s="310">
        <v>26</v>
      </c>
    </row>
    <row customHeight="1" ht="14.699999999999998">
      <c r="A33" s="1910"/>
      <c r="C33" s="323"/>
      <c r="D33" s="374" t="s">
        <v>1140</v>
      </c>
      <c r="E33" s="433" t="s">
        <v>1129</v>
      </c>
      <c r="F33" s="425"/>
      <c r="G33" s="484"/>
      <c r="H33" s="425" t="s">
        <v>308</v>
      </c>
      <c r="I33" s="2396" t="s">
        <v>1141</v>
      </c>
      <c r="M33" s="310">
        <v>14</v>
      </c>
    </row>
    <row customHeight="1" ht="15.75">
      <c r="A34" s="1910" t="s">
        <v>89</v>
      </c>
      <c r="C34" s="323"/>
      <c r="D34" s="336"/>
      <c r="E34" s="431" t="s">
        <v>324</v>
      </c>
      <c r="F34" s="427"/>
      <c r="G34" s="427"/>
      <c r="H34" s="428"/>
      <c r="I34" s="2398"/>
      <c r="M34" s="310">
        <v>15</v>
      </c>
    </row>
    <row customHeight="1" ht="25.2">
      <c r="A35" s="1910"/>
      <c r="C35" s="323"/>
      <c r="D35" s="374" t="s">
        <v>883</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0"/>
      <c r="G35" s="2630"/>
      <c r="H35" s="2630"/>
      <c r="I35" s="483"/>
      <c r="M35" s="310">
        <v>24</v>
      </c>
    </row>
    <row customHeight="1" ht="14.699999999999998">
      <c r="A36" s="1910"/>
      <c r="C36" s="323"/>
      <c r="D36" s="374" t="s">
        <v>1142</v>
      </c>
      <c r="E36" s="433" t="s">
        <v>1130</v>
      </c>
      <c r="F36" s="425"/>
      <c r="G36" s="484"/>
      <c r="H36" s="425" t="s">
        <v>308</v>
      </c>
      <c r="I36" s="2370" t="s">
        <v>1143</v>
      </c>
      <c r="M36" s="310">
        <v>14</v>
      </c>
    </row>
    <row customHeight="1" ht="15.75">
      <c r="A37" s="1910" t="s">
        <v>90</v>
      </c>
      <c r="C37" s="323"/>
      <c r="D37" s="336"/>
      <c r="E37" s="431" t="s">
        <v>324</v>
      </c>
      <c r="F37" s="427"/>
      <c r="G37" s="427"/>
      <c r="H37" s="428"/>
      <c r="I37" s="2370"/>
      <c r="M37" s="310">
        <v>15</v>
      </c>
    </row>
    <row customHeight="1" ht="27.299999999999997">
      <c r="A38" s="1910"/>
      <c r="C38" s="323"/>
      <c r="D38" s="374" t="s">
        <v>884</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0"/>
      <c r="G38" s="2630"/>
      <c r="H38" s="2630"/>
      <c r="I38" s="483"/>
      <c r="M38" s="310">
        <v>26</v>
      </c>
    </row>
    <row customHeight="1" ht="14.699999999999998">
      <c r="A39" s="1910"/>
      <c r="C39" s="323"/>
      <c r="D39" s="374" t="s">
        <v>885</v>
      </c>
      <c r="E39" s="433" t="s">
        <v>1131</v>
      </c>
      <c r="F39" s="425"/>
      <c r="G39" s="434"/>
      <c r="H39" s="425" t="s">
        <v>308</v>
      </c>
      <c r="I39" s="2396" t="s">
        <v>1144</v>
      </c>
      <c r="L39" s="382" t="s">
        <v>1132</v>
      </c>
      <c r="M39" s="310">
        <v>14</v>
      </c>
    </row>
    <row customHeight="1" ht="15.75">
      <c r="A40" s="1910" t="s">
        <v>110</v>
      </c>
      <c r="C40" s="323"/>
      <c r="D40" s="336"/>
      <c r="E40" s="431" t="s">
        <v>324</v>
      </c>
      <c r="F40" s="427"/>
      <c r="G40" s="427"/>
      <c r="H40" s="428"/>
      <c r="I40" s="2398"/>
      <c r="M40" s="310">
        <v>15</v>
      </c>
    </row>
    <row s="13337" customFormat="1" customHeight="1" ht="3">
      <c r="A41" s="1910"/>
      <c r="K41" s="423"/>
      <c r="L41" s="423"/>
      <c r="M41" s="367">
        <v>3</v>
      </c>
    </row>
    <row customHeight="1" ht="26.25">
      <c r="D42" s="1908" t="s">
        <v>805</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8B647-D94C-8498-D08C-729E5139086A}" mc:Ignorable="x14ac xr xr2 xr3">
  <sheetPr>
    <tabColor theme="6" tint="0.4"/>
  </sheetPr>
  <dimension ref="A1:AH341"/>
  <sheetViews>
    <sheetView topLeftCell="A1" showGridLines="0" zoomScale="90" workbookViewId="0">
      <selection activeCell="M199" sqref="M199"/>
    </sheetView>
  </sheetViews>
  <sheetFormatPr defaultColWidth="10.57421875" customHeight="1" defaultRowHeight="14.25"/>
  <cols>
    <col min="1" max="2" style="13388" width="25.140625" hidden="1" customWidth="1"/>
    <col min="3" max="3" style="13389" width="9.140625" hidden="1" customWidth="1"/>
    <col min="4" max="4" style="12055" width="3.00390625" customWidth="1"/>
    <col min="5" max="5" style="11160" width="6.00390625" customWidth="1"/>
    <col min="6" max="6" style="11160" width="46.7109375" customWidth="1"/>
    <col min="7" max="7" style="11160" width="35.00390625" customWidth="1"/>
    <col min="8" max="8" style="11160" width="3.00390625" customWidth="1"/>
    <col min="9" max="10" style="11160" width="11.00390625" customWidth="1"/>
    <col min="11" max="12" style="11160" width="35.00390625" customWidth="1"/>
    <col min="13" max="13" style="11160" width="84.00390625" customWidth="1"/>
    <col min="14" max="14" style="11160" width="10.00390625" customWidth="1"/>
    <col min="15" max="16" style="11328" width="10.00390625" customWidth="1"/>
    <col min="17" max="33" style="11160" width="10.00390625" customWidth="1"/>
    <col min="34" max="34" style="11160" width="10.57421875" hidden="1"/>
  </cols>
  <sheetData>
    <row s="11160"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60"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308</v>
      </c>
      <c r="M2" s="2102"/>
      <c r="N2" s="561"/>
      <c r="O2" s="1851"/>
      <c r="P2" s="1851"/>
      <c r="AH2" s="1858">
        <v>0</v>
      </c>
    </row>
    <row s="11160" customFormat="1" customHeight="1" ht="18.75" hidden="1">
      <c r="A3" s="2007"/>
      <c r="B3" s="2007"/>
      <c r="C3" s="596" t="s">
        <v>1145</v>
      </c>
      <c r="D3" s="571"/>
      <c r="E3" s="1258"/>
      <c r="F3" s="1258"/>
      <c r="G3" s="2654"/>
      <c r="H3" s="1727"/>
      <c r="I3" s="878" t="s">
        <v>1146</v>
      </c>
      <c r="J3" s="798"/>
      <c r="K3" s="1727"/>
      <c r="L3" s="441"/>
      <c r="M3" s="2102"/>
      <c r="N3" s="561"/>
      <c r="O3" s="1851"/>
      <c r="P3" s="1851"/>
      <c r="AH3" s="1858">
        <v>0</v>
      </c>
    </row>
    <row s="11160"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60"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308</v>
      </c>
      <c r="M5" s="2102"/>
      <c r="N5" s="561"/>
      <c r="O5" s="1851"/>
      <c r="P5" s="1851"/>
      <c r="AH5" s="1858">
        <v>0</v>
      </c>
    </row>
    <row s="11160" customFormat="1" customHeight="1" ht="18.75" hidden="1">
      <c r="A6" s="2007"/>
      <c r="B6" s="2007"/>
      <c r="C6" s="596" t="s">
        <v>1147</v>
      </c>
      <c r="D6" s="571"/>
      <c r="E6" s="1258"/>
      <c r="F6" s="1258"/>
      <c r="G6" s="2654"/>
      <c r="H6" s="1727"/>
      <c r="I6" s="878" t="s">
        <v>1146</v>
      </c>
      <c r="J6" s="798"/>
      <c r="K6" s="1727"/>
      <c r="L6" s="441"/>
      <c r="M6" s="2102"/>
      <c r="N6" s="561"/>
      <c r="O6" s="1851"/>
      <c r="P6" s="1851"/>
      <c r="AH6" s="1858">
        <v>0</v>
      </c>
    </row>
    <row s="11160"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60" customFormat="1" customHeight="1" ht="56.25" hidden="1">
      <c r="A8" s="2007"/>
      <c r="B8" s="2007"/>
      <c r="C8" s="596"/>
      <c r="D8" s="571"/>
      <c r="E8" s="1258"/>
      <c r="F8" s="1258"/>
      <c r="G8" s="1258"/>
      <c r="H8" s="1998"/>
      <c r="I8" s="1966"/>
      <c r="J8" s="2000"/>
      <c r="K8" s="2092"/>
      <c r="L8" s="1998" t="s">
        <v>308</v>
      </c>
      <c r="M8" s="2102"/>
      <c r="N8" s="561"/>
      <c r="O8" s="1851"/>
      <c r="P8" s="1851"/>
      <c r="AH8" s="1858">
        <v>0</v>
      </c>
    </row>
    <row customHeight="1" ht="14.25" hidden="1">
      <c r="T9" s="624"/>
      <c r="AG9" s="482"/>
      <c r="AH9" s="601">
        <v>0</v>
      </c>
    </row>
    <row s="11160" customFormat="1" customHeight="1" ht="56.25" hidden="1">
      <c r="A10" s="2007"/>
      <c r="B10" s="2007"/>
      <c r="C10" s="596"/>
      <c r="D10" s="571"/>
      <c r="E10" s="1258"/>
      <c r="F10" s="1258"/>
      <c r="G10" s="1258"/>
      <c r="H10" s="1997"/>
      <c r="I10" s="1966"/>
      <c r="J10" s="2000"/>
      <c r="K10" s="2005"/>
      <c r="L10" s="1998" t="s">
        <v>308</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45408</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04/4240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302</v>
      </c>
      <c r="F19" s="2436"/>
      <c r="G19" s="2436"/>
      <c r="H19" s="2436"/>
      <c r="I19" s="2436"/>
      <c r="J19" s="2436"/>
      <c r="K19" s="2436"/>
      <c r="L19" s="2436"/>
      <c r="M19" s="2616" t="s">
        <v>303</v>
      </c>
      <c r="AH19" s="601">
        <v>21</v>
      </c>
    </row>
    <row customHeight="1" ht="22.049999999999997">
      <c r="D20" s="603"/>
      <c r="E20" s="2504" t="s">
        <v>87</v>
      </c>
      <c r="F20" s="2451" t="s">
        <v>121</v>
      </c>
      <c r="G20" s="2451" t="s">
        <v>122</v>
      </c>
      <c r="H20" s="2613" t="s">
        <v>1148</v>
      </c>
      <c r="I20" s="2614"/>
      <c r="J20" s="2660"/>
      <c r="K20" s="2451" t="s">
        <v>305</v>
      </c>
      <c r="L20" s="2451" t="s">
        <v>392</v>
      </c>
      <c r="M20" s="2616"/>
      <c r="AH20" s="601">
        <v>21</v>
      </c>
    </row>
    <row customHeight="1" ht="22.049999999999997">
      <c r="D21" s="603"/>
      <c r="E21" s="2506"/>
      <c r="F21" s="2452"/>
      <c r="G21" s="2452"/>
      <c r="H21" s="2445" t="s">
        <v>1149</v>
      </c>
      <c r="I21" s="2447"/>
      <c r="J21" s="335" t="s">
        <v>1150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308</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308</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60" customFormat="1" customHeight="1" ht="18.75" hidden="1">
      <c r="A25" s="2007"/>
      <c r="B25" s="2007"/>
      <c r="C25" s="596" t="s">
        <v>1145</v>
      </c>
      <c r="D25" s="2693"/>
      <c r="E25" s="2431"/>
      <c r="F25" s="2697"/>
      <c r="G25" s="2654"/>
      <c r="H25" s="1727"/>
      <c r="I25" s="878" t="s">
        <v>1146</v>
      </c>
      <c r="J25" s="798"/>
      <c r="K25" s="1727"/>
      <c r="L25" s="441"/>
      <c r="M25" s="2397"/>
      <c r="N25" s="561"/>
      <c r="O25" s="1851"/>
      <c r="P25" s="1851"/>
      <c r="AH25" s="1858">
        <v>0</v>
      </c>
    </row>
    <row customHeight="1" ht="0.75" hidden="1">
      <c r="A26" s="2007"/>
      <c r="B26" s="2007"/>
      <c r="C26" s="596" t="s">
        <v>1151</v>
      </c>
      <c r="D26" s="2693"/>
      <c r="E26" s="2431"/>
      <c r="F26" s="2610"/>
      <c r="G26" s="627"/>
      <c r="H26" s="1727"/>
      <c r="I26" s="622"/>
      <c r="J26" s="576"/>
      <c r="K26" s="1727"/>
      <c r="L26" s="428"/>
      <c r="M26" s="2397"/>
      <c r="N26" s="561"/>
      <c r="AH26" s="601">
        <v>0</v>
      </c>
    </row>
    <row s="11160" customFormat="1" customHeight="1" ht="45" hidden="1">
      <c r="A27" s="2007" t="s">
        <v>159</v>
      </c>
      <c r="B27" s="2007" t="s">
        <v>160</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308</v>
      </c>
      <c r="M27" s="2397"/>
      <c r="N27" s="561"/>
      <c r="O27" s="1851"/>
      <c r="P27" s="1851"/>
      <c r="AH27" s="1858">
        <v>0</v>
      </c>
    </row>
    <row s="11160" customFormat="1" customHeight="1" ht="18.75" hidden="1">
      <c r="A28" s="2007"/>
      <c r="B28" s="2007"/>
      <c r="C28" s="596" t="s">
        <v>1145</v>
      </c>
      <c r="D28" s="2689"/>
      <c r="E28" s="2690"/>
      <c r="F28" s="2691"/>
      <c r="G28" s="2654"/>
      <c r="H28" s="1727"/>
      <c r="I28" s="878" t="s">
        <v>1146</v>
      </c>
      <c r="J28" s="798"/>
      <c r="K28" s="1727"/>
      <c r="L28" s="441"/>
      <c r="M28" s="2397"/>
      <c r="N28" s="561"/>
      <c r="O28" s="1851"/>
      <c r="P28" s="1851"/>
      <c r="AH28" s="1858">
        <v>0</v>
      </c>
    </row>
    <row s="11160" customFormat="1" customHeight="1" ht="0.75" hidden="1">
      <c r="A29" s="2007"/>
      <c r="B29" s="2007"/>
      <c r="C29" s="596" t="s">
        <v>1151</v>
      </c>
      <c r="D29" s="2689"/>
      <c r="E29" s="2431"/>
      <c r="F29" s="2610"/>
      <c r="G29" s="627"/>
      <c r="H29" s="1727"/>
      <c r="I29" s="878"/>
      <c r="J29" s="798"/>
      <c r="K29" s="1727"/>
      <c r="L29" s="441"/>
      <c r="M29" s="2397"/>
      <c r="N29" s="561"/>
      <c r="O29" s="1851"/>
      <c r="P29" s="1851"/>
      <c r="AH29" s="1858">
        <v>0</v>
      </c>
    </row>
    <row s="11160"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308</v>
      </c>
      <c r="M30" s="2397"/>
      <c r="N30" s="561"/>
      <c r="O30" s="1851"/>
      <c r="P30" s="1851"/>
      <c r="AH30" s="1858">
        <v>0</v>
      </c>
    </row>
    <row s="11160" customFormat="1" customHeight="1" ht="18.75" hidden="1">
      <c r="A31" s="2007"/>
      <c r="B31" s="2007"/>
      <c r="C31" s="596" t="s">
        <v>1145</v>
      </c>
      <c r="D31" s="2689"/>
      <c r="E31" s="2431"/>
      <c r="F31" s="2610"/>
      <c r="G31" s="2654"/>
      <c r="H31" s="1727"/>
      <c r="I31" s="878" t="s">
        <v>1146</v>
      </c>
      <c r="J31" s="798"/>
      <c r="K31" s="1727"/>
      <c r="L31" s="441"/>
      <c r="M31" s="2397"/>
      <c r="N31" s="561"/>
      <c r="O31" s="1851"/>
      <c r="P31" s="1851"/>
      <c r="AH31" s="1858">
        <v>0</v>
      </c>
    </row>
    <row s="11160" customFormat="1" customHeight="1" ht="0.75" hidden="1">
      <c r="A32" s="2007"/>
      <c r="B32" s="2007"/>
      <c r="C32" s="596" t="s">
        <v>1151</v>
      </c>
      <c r="D32" s="2689"/>
      <c r="E32" s="2431"/>
      <c r="F32" s="2610"/>
      <c r="G32" s="627"/>
      <c r="H32" s="1727"/>
      <c r="I32" s="878"/>
      <c r="J32" s="798"/>
      <c r="K32" s="1727"/>
      <c r="L32" s="441"/>
      <c r="M32" s="2397"/>
      <c r="N32" s="561"/>
      <c r="O32" s="1851"/>
      <c r="P32" s="1851"/>
      <c r="AH32" s="1858">
        <v>0</v>
      </c>
    </row>
    <row s="11160"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308</v>
      </c>
      <c r="M33" s="2397"/>
      <c r="N33" s="561"/>
      <c r="O33" s="1851"/>
      <c r="P33" s="1851"/>
      <c r="AH33" s="1858">
        <v>0</v>
      </c>
    </row>
    <row s="11160" customFormat="1" customHeight="1" ht="18.75" hidden="1">
      <c r="A34" s="2007"/>
      <c r="B34" s="2007"/>
      <c r="C34" s="596" t="s">
        <v>1145</v>
      </c>
      <c r="D34" s="2689"/>
      <c r="E34" s="2431"/>
      <c r="F34" s="2610"/>
      <c r="G34" s="2654"/>
      <c r="H34" s="1727"/>
      <c r="I34" s="878" t="s">
        <v>1146</v>
      </c>
      <c r="J34" s="798"/>
      <c r="K34" s="1727"/>
      <c r="L34" s="441"/>
      <c r="M34" s="2397"/>
      <c r="N34" s="561"/>
      <c r="O34" s="1851"/>
      <c r="P34" s="1851"/>
      <c r="AH34" s="1858">
        <v>0</v>
      </c>
    </row>
    <row s="11160" customFormat="1" customHeight="1" ht="0.75" hidden="1">
      <c r="A35" s="2007"/>
      <c r="B35" s="2007"/>
      <c r="C35" s="596" t="s">
        <v>1151</v>
      </c>
      <c r="D35" s="2689"/>
      <c r="E35" s="2431"/>
      <c r="F35" s="2610"/>
      <c r="G35" s="627"/>
      <c r="H35" s="1727"/>
      <c r="I35" s="878"/>
      <c r="J35" s="798"/>
      <c r="K35" s="1727"/>
      <c r="L35" s="441"/>
      <c r="M35" s="2397"/>
      <c r="N35" s="561"/>
      <c r="O35" s="1851"/>
      <c r="P35" s="1851"/>
      <c r="AH35" s="1858">
        <v>0</v>
      </c>
    </row>
    <row s="11160"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308</v>
      </c>
      <c r="M36" s="2397"/>
      <c r="N36" s="561"/>
      <c r="O36" s="1851"/>
      <c r="P36" s="1851"/>
      <c r="AH36" s="1858">
        <v>0</v>
      </c>
    </row>
    <row s="11160" customFormat="1" customHeight="1" ht="18.75" hidden="1">
      <c r="A37" s="2007"/>
      <c r="B37" s="2007"/>
      <c r="C37" s="596" t="s">
        <v>1145</v>
      </c>
      <c r="D37" s="2689"/>
      <c r="E37" s="2431"/>
      <c r="F37" s="2610"/>
      <c r="G37" s="2654"/>
      <c r="H37" s="1727"/>
      <c r="I37" s="878" t="s">
        <v>1146</v>
      </c>
      <c r="J37" s="798"/>
      <c r="K37" s="1727"/>
      <c r="L37" s="441"/>
      <c r="M37" s="2397"/>
      <c r="N37" s="561"/>
      <c r="O37" s="1851"/>
      <c r="P37" s="1851"/>
      <c r="AH37" s="1858">
        <v>0</v>
      </c>
    </row>
    <row s="11160" customFormat="1" customHeight="1" ht="0.75" hidden="1">
      <c r="A38" s="2007"/>
      <c r="B38" s="2007"/>
      <c r="C38" s="596" t="s">
        <v>1151</v>
      </c>
      <c r="D38" s="2689"/>
      <c r="E38" s="2431"/>
      <c r="F38" s="2610"/>
      <c r="G38" s="627"/>
      <c r="H38" s="1727"/>
      <c r="I38" s="878"/>
      <c r="J38" s="798"/>
      <c r="K38" s="1727"/>
      <c r="L38" s="441"/>
      <c r="M38" s="2397"/>
      <c r="N38" s="561"/>
      <c r="O38" s="1851"/>
      <c r="P38" s="1851"/>
      <c r="AH38" s="1858">
        <v>0</v>
      </c>
    </row>
    <row s="11160"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308</v>
      </c>
      <c r="M39" s="2397"/>
      <c r="N39" s="561"/>
      <c r="O39" s="1851"/>
      <c r="P39" s="1851"/>
      <c r="AH39" s="1858">
        <v>0</v>
      </c>
    </row>
    <row s="11160" customFormat="1" customHeight="1" ht="18.75" hidden="1">
      <c r="A40" s="2007"/>
      <c r="B40" s="2007"/>
      <c r="C40" s="596" t="s">
        <v>1145</v>
      </c>
      <c r="D40" s="2689"/>
      <c r="E40" s="2431"/>
      <c r="F40" s="2610"/>
      <c r="G40" s="2654"/>
      <c r="H40" s="1727"/>
      <c r="I40" s="878" t="s">
        <v>1146</v>
      </c>
      <c r="J40" s="798"/>
      <c r="K40" s="1727"/>
      <c r="L40" s="441"/>
      <c r="M40" s="2397"/>
      <c r="N40" s="561"/>
      <c r="O40" s="1851"/>
      <c r="P40" s="1851"/>
      <c r="AH40" s="1858">
        <v>0</v>
      </c>
    </row>
    <row s="11160" customFormat="1" customHeight="1" ht="0.75" hidden="1">
      <c r="A41" s="2007"/>
      <c r="B41" s="2007"/>
      <c r="C41" s="596" t="s">
        <v>1151</v>
      </c>
      <c r="D41" s="2689"/>
      <c r="E41" s="2431"/>
      <c r="F41" s="2610"/>
      <c r="G41" s="627"/>
      <c r="H41" s="1727"/>
      <c r="I41" s="878"/>
      <c r="J41" s="798"/>
      <c r="K41" s="1727"/>
      <c r="L41" s="441"/>
      <c r="M41" s="2397"/>
      <c r="N41" s="561"/>
      <c r="O41" s="1851"/>
      <c r="P41" s="1851"/>
      <c r="AH41" s="1858">
        <v>0</v>
      </c>
    </row>
    <row s="11160"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308</v>
      </c>
      <c r="M42" s="2397"/>
      <c r="N42" s="561"/>
      <c r="O42" s="1851"/>
      <c r="P42" s="1851"/>
      <c r="AH42" s="1858">
        <v>0</v>
      </c>
    </row>
    <row s="11160" customFormat="1" customHeight="1" ht="18.75" hidden="1">
      <c r="A43" s="2007"/>
      <c r="B43" s="2007"/>
      <c r="C43" s="596" t="s">
        <v>1145</v>
      </c>
      <c r="D43" s="2689"/>
      <c r="E43" s="2431"/>
      <c r="F43" s="2610"/>
      <c r="G43" s="2654"/>
      <c r="H43" s="1727"/>
      <c r="I43" s="878" t="s">
        <v>1146</v>
      </c>
      <c r="J43" s="798"/>
      <c r="K43" s="1727"/>
      <c r="L43" s="441"/>
      <c r="M43" s="2397"/>
      <c r="N43" s="561"/>
      <c r="O43" s="1851"/>
      <c r="P43" s="1851"/>
      <c r="AH43" s="1858">
        <v>0</v>
      </c>
    </row>
    <row s="11160" customFormat="1" customHeight="1" ht="0.75" hidden="1">
      <c r="A44" s="2007"/>
      <c r="B44" s="2007"/>
      <c r="C44" s="596" t="s">
        <v>1151</v>
      </c>
      <c r="D44" s="2689"/>
      <c r="E44" s="2431"/>
      <c r="F44" s="2610"/>
      <c r="G44" s="627"/>
      <c r="H44" s="1727"/>
      <c r="I44" s="878"/>
      <c r="J44" s="798"/>
      <c r="K44" s="1727"/>
      <c r="L44" s="441"/>
      <c r="M44" s="2397"/>
      <c r="N44" s="561"/>
      <c r="O44" s="1851"/>
      <c r="P44" s="1851"/>
      <c r="AH44" s="1858">
        <v>0</v>
      </c>
    </row>
    <row s="11160" customFormat="1" customHeight="1" ht="18.75" hidden="1">
      <c r="A45" s="2007" t="s">
        <v>196</v>
      </c>
      <c r="B45" s="2007" t="s">
        <v>197</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308</v>
      </c>
      <c r="M45" s="2397"/>
      <c r="N45" s="561"/>
      <c r="O45" s="1851"/>
      <c r="P45" s="1851"/>
      <c r="AH45" s="1858">
        <v>0</v>
      </c>
    </row>
    <row s="11160" customFormat="1" customHeight="1" ht="18.75" hidden="1">
      <c r="A46" s="2007"/>
      <c r="B46" s="2007"/>
      <c r="C46" s="596" t="s">
        <v>1145</v>
      </c>
      <c r="D46" s="2689"/>
      <c r="E46" s="2431"/>
      <c r="F46" s="2610"/>
      <c r="G46" s="2654"/>
      <c r="H46" s="1727"/>
      <c r="I46" s="878" t="s">
        <v>1146</v>
      </c>
      <c r="J46" s="798"/>
      <c r="K46" s="1727"/>
      <c r="L46" s="441"/>
      <c r="M46" s="2397"/>
      <c r="N46" s="561"/>
      <c r="O46" s="1851"/>
      <c r="P46" s="1851"/>
      <c r="AH46" s="1858">
        <v>0</v>
      </c>
    </row>
    <row s="11160" customFormat="1" customHeight="1" ht="0.75" hidden="1">
      <c r="A47" s="2007"/>
      <c r="B47" s="2007"/>
      <c r="C47" s="596" t="s">
        <v>1151</v>
      </c>
      <c r="D47" s="2689"/>
      <c r="E47" s="2431"/>
      <c r="F47" s="2610"/>
      <c r="G47" s="627"/>
      <c r="H47" s="1727"/>
      <c r="I47" s="878"/>
      <c r="J47" s="798"/>
      <c r="K47" s="1727"/>
      <c r="L47" s="441"/>
      <c r="M47" s="2397"/>
      <c r="N47" s="561"/>
      <c r="O47" s="1851"/>
      <c r="P47" s="1851"/>
      <c r="AH47" s="1858">
        <v>0</v>
      </c>
    </row>
    <row s="11160" customFormat="1" customHeight="1" ht="18.75" hidden="1">
      <c r="A48" s="2007" t="s">
        <v>202</v>
      </c>
      <c r="B48" s="2007" t="s">
        <v>203</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308</v>
      </c>
      <c r="M48" s="2397"/>
      <c r="N48" s="561"/>
      <c r="O48" s="1851"/>
      <c r="P48" s="1851"/>
      <c r="AH48" s="1858">
        <v>0</v>
      </c>
    </row>
    <row s="11160" customFormat="1" customHeight="1" ht="18.75" hidden="1">
      <c r="A49" s="2007"/>
      <c r="B49" s="2007"/>
      <c r="C49" s="596" t="s">
        <v>1145</v>
      </c>
      <c r="D49" s="2689"/>
      <c r="E49" s="2431"/>
      <c r="F49" s="2610"/>
      <c r="G49" s="2654"/>
      <c r="H49" s="1727"/>
      <c r="I49" s="878" t="s">
        <v>1146</v>
      </c>
      <c r="J49" s="798"/>
      <c r="K49" s="1727"/>
      <c r="L49" s="441"/>
      <c r="M49" s="2397"/>
      <c r="N49" s="561"/>
      <c r="O49" s="1851"/>
      <c r="P49" s="1851"/>
      <c r="AH49" s="1858">
        <v>0</v>
      </c>
    </row>
    <row s="11160" customFormat="1" customHeight="1" ht="0.75" hidden="1">
      <c r="A50" s="2007"/>
      <c r="B50" s="2007"/>
      <c r="C50" s="596" t="s">
        <v>1151</v>
      </c>
      <c r="D50" s="2689"/>
      <c r="E50" s="2431"/>
      <c r="F50" s="2610"/>
      <c r="G50" s="627"/>
      <c r="H50" s="1727"/>
      <c r="I50" s="878"/>
      <c r="J50" s="798"/>
      <c r="K50" s="1727"/>
      <c r="L50" s="441"/>
      <c r="M50" s="2397"/>
      <c r="N50" s="561"/>
      <c r="O50" s="1851"/>
      <c r="P50" s="1851"/>
      <c r="AH50" s="1858">
        <v>0</v>
      </c>
    </row>
    <row s="11160" customFormat="1" customHeight="1" ht="18.75" hidden="1">
      <c r="A51" s="2007" t="s">
        <v>222</v>
      </c>
      <c r="B51" s="2007" t="s">
        <v>223</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308</v>
      </c>
      <c r="M51" s="2397"/>
      <c r="N51" s="561"/>
      <c r="O51" s="1851"/>
      <c r="P51" s="1851"/>
      <c r="AH51" s="1858">
        <v>0</v>
      </c>
    </row>
    <row s="11160" customFormat="1" customHeight="1" ht="18.75" hidden="1">
      <c r="A52" s="2007"/>
      <c r="B52" s="2007"/>
      <c r="C52" s="596" t="s">
        <v>1145</v>
      </c>
      <c r="D52" s="2689"/>
      <c r="E52" s="2431"/>
      <c r="F52" s="2610"/>
      <c r="G52" s="2654"/>
      <c r="H52" s="1727"/>
      <c r="I52" s="878" t="s">
        <v>1146</v>
      </c>
      <c r="J52" s="798"/>
      <c r="K52" s="1727"/>
      <c r="L52" s="441"/>
      <c r="M52" s="2397"/>
      <c r="N52" s="561"/>
      <c r="O52" s="1851"/>
      <c r="P52" s="1851"/>
      <c r="AH52" s="1858">
        <v>0</v>
      </c>
    </row>
    <row s="11160" customFormat="1" customHeight="1" ht="0.75" hidden="1">
      <c r="A53" s="2007"/>
      <c r="B53" s="2007"/>
      <c r="C53" s="596" t="s">
        <v>1151</v>
      </c>
      <c r="D53" s="2689"/>
      <c r="E53" s="2431"/>
      <c r="F53" s="2610"/>
      <c r="G53" s="627"/>
      <c r="H53" s="1727"/>
      <c r="I53" s="878"/>
      <c r="J53" s="798"/>
      <c r="K53" s="1727"/>
      <c r="L53" s="441"/>
      <c r="M53" s="2397"/>
      <c r="N53" s="561"/>
      <c r="O53" s="1851"/>
      <c r="P53" s="1851"/>
      <c r="AH53" s="1858">
        <v>0</v>
      </c>
    </row>
    <row s="11160" customFormat="1" customHeight="1" ht="18.75" hidden="1">
      <c r="A54" s="2007" t="s">
        <v>227</v>
      </c>
      <c r="B54" s="2007" t="s">
        <v>228</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308</v>
      </c>
      <c r="M54" s="2397"/>
      <c r="N54" s="561"/>
      <c r="O54" s="1851"/>
      <c r="P54" s="1851"/>
      <c r="AH54" s="1858">
        <v>0</v>
      </c>
    </row>
    <row s="11160" customFormat="1" customHeight="1" ht="18.75" hidden="1">
      <c r="A55" s="2007"/>
      <c r="B55" s="2007"/>
      <c r="C55" s="596" t="s">
        <v>1145</v>
      </c>
      <c r="D55" s="2689"/>
      <c r="E55" s="2431"/>
      <c r="F55" s="2610"/>
      <c r="G55" s="2654"/>
      <c r="H55" s="1727"/>
      <c r="I55" s="878" t="s">
        <v>1146</v>
      </c>
      <c r="J55" s="798"/>
      <c r="K55" s="1727"/>
      <c r="L55" s="441"/>
      <c r="M55" s="2397"/>
      <c r="N55" s="561"/>
      <c r="O55" s="1851"/>
      <c r="P55" s="1851"/>
      <c r="AH55" s="1858">
        <v>0</v>
      </c>
    </row>
    <row s="11160" customFormat="1" customHeight="1" ht="0.75" hidden="1">
      <c r="A56" s="2007"/>
      <c r="B56" s="2007"/>
      <c r="C56" s="596" t="s">
        <v>1151</v>
      </c>
      <c r="D56" s="2689"/>
      <c r="E56" s="2431"/>
      <c r="F56" s="2610"/>
      <c r="G56" s="627"/>
      <c r="H56" s="1727"/>
      <c r="I56" s="878"/>
      <c r="J56" s="798"/>
      <c r="K56" s="1727"/>
      <c r="L56" s="441"/>
      <c r="M56" s="2397"/>
      <c r="N56" s="561"/>
      <c r="O56" s="1851"/>
      <c r="P56" s="1851"/>
      <c r="AH56" s="1858">
        <v>0</v>
      </c>
    </row>
    <row s="11160" customFormat="1" customHeight="1" ht="18.75" hidden="1">
      <c r="A57" s="2007" t="s">
        <v>232</v>
      </c>
      <c r="B57" s="2007" t="s">
        <v>233</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308</v>
      </c>
      <c r="M57" s="2397"/>
      <c r="N57" s="561"/>
      <c r="O57" s="1851"/>
      <c r="P57" s="1851"/>
      <c r="AH57" s="1858">
        <v>0</v>
      </c>
    </row>
    <row s="11160" customFormat="1" customHeight="1" ht="18.75" hidden="1">
      <c r="A58" s="2007"/>
      <c r="B58" s="2007"/>
      <c r="C58" s="596" t="s">
        <v>1145</v>
      </c>
      <c r="D58" s="2689"/>
      <c r="E58" s="2431"/>
      <c r="F58" s="2610"/>
      <c r="G58" s="2654"/>
      <c r="H58" s="1727"/>
      <c r="I58" s="878" t="s">
        <v>1146</v>
      </c>
      <c r="J58" s="798"/>
      <c r="K58" s="1727"/>
      <c r="L58" s="441"/>
      <c r="M58" s="2397"/>
      <c r="N58" s="561"/>
      <c r="O58" s="1851"/>
      <c r="P58" s="1851"/>
      <c r="AH58" s="1858">
        <v>0</v>
      </c>
    </row>
    <row s="11160" customFormat="1" customHeight="1" ht="0.75" hidden="1">
      <c r="A59" s="2007"/>
      <c r="B59" s="2007"/>
      <c r="C59" s="596" t="s">
        <v>1151</v>
      </c>
      <c r="D59" s="2689"/>
      <c r="E59" s="2431"/>
      <c r="F59" s="2610"/>
      <c r="G59" s="627"/>
      <c r="H59" s="1727"/>
      <c r="I59" s="878"/>
      <c r="J59" s="798"/>
      <c r="K59" s="1727"/>
      <c r="L59" s="441"/>
      <c r="M59" s="2397"/>
      <c r="N59" s="561"/>
      <c r="O59" s="1851"/>
      <c r="P59" s="1851"/>
      <c r="AH59" s="1858">
        <v>0</v>
      </c>
    </row>
    <row s="11160" customFormat="1" customHeight="1" ht="18.75" hidden="1">
      <c r="A60" s="2007" t="s">
        <v>237</v>
      </c>
      <c r="B60" s="2007" t="s">
        <v>238</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308</v>
      </c>
      <c r="M60" s="2397"/>
      <c r="N60" s="561"/>
      <c r="O60" s="1851"/>
      <c r="P60" s="1851"/>
      <c r="AH60" s="1858">
        <v>0</v>
      </c>
    </row>
    <row s="11160" customFormat="1" customHeight="1" ht="18.75" hidden="1">
      <c r="A61" s="2007"/>
      <c r="B61" s="2007"/>
      <c r="C61" s="596" t="s">
        <v>1145</v>
      </c>
      <c r="D61" s="2689"/>
      <c r="E61" s="2431"/>
      <c r="F61" s="2610"/>
      <c r="G61" s="2654"/>
      <c r="H61" s="1727"/>
      <c r="I61" s="878" t="s">
        <v>1146</v>
      </c>
      <c r="J61" s="798"/>
      <c r="K61" s="1727"/>
      <c r="L61" s="441"/>
      <c r="M61" s="2397"/>
      <c r="N61" s="561"/>
      <c r="O61" s="1851"/>
      <c r="P61" s="1851"/>
      <c r="AH61" s="1858">
        <v>0</v>
      </c>
    </row>
    <row s="11160" customFormat="1" customHeight="1" ht="0.75" hidden="1">
      <c r="A62" s="2007"/>
      <c r="B62" s="2007"/>
      <c r="C62" s="596" t="s">
        <v>1151</v>
      </c>
      <c r="D62" s="2689"/>
      <c r="E62" s="2431"/>
      <c r="F62" s="2610"/>
      <c r="G62" s="627"/>
      <c r="H62" s="1727"/>
      <c r="I62" s="878"/>
      <c r="J62" s="798"/>
      <c r="K62" s="1727"/>
      <c r="L62" s="441"/>
      <c r="M62" s="2397"/>
      <c r="N62" s="561"/>
      <c r="O62" s="1851"/>
      <c r="P62" s="1851"/>
      <c r="AH62" s="1858">
        <v>0</v>
      </c>
    </row>
    <row s="11160" customFormat="1" customHeight="1" ht="18.75" hidden="1">
      <c r="A63" s="2007" t="s">
        <v>242</v>
      </c>
      <c r="B63" s="2007" t="s">
        <v>243</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308</v>
      </c>
      <c r="M63" s="2397"/>
      <c r="N63" s="561"/>
      <c r="O63" s="1851"/>
      <c r="P63" s="1851"/>
      <c r="AH63" s="1858">
        <v>0</v>
      </c>
    </row>
    <row s="11160" customFormat="1" customHeight="1" ht="18.75" hidden="1">
      <c r="A64" s="2007"/>
      <c r="B64" s="2007"/>
      <c r="C64" s="596" t="s">
        <v>1145</v>
      </c>
      <c r="D64" s="2689"/>
      <c r="E64" s="2431"/>
      <c r="F64" s="2610"/>
      <c r="G64" s="2654"/>
      <c r="H64" s="1727"/>
      <c r="I64" s="878" t="s">
        <v>1146</v>
      </c>
      <c r="J64" s="798"/>
      <c r="K64" s="1727"/>
      <c r="L64" s="441"/>
      <c r="M64" s="2397"/>
      <c r="N64" s="561"/>
      <c r="O64" s="1851"/>
      <c r="P64" s="1851"/>
      <c r="AH64" s="1858">
        <v>0</v>
      </c>
    </row>
    <row s="11160" customFormat="1" customHeight="1" ht="0.75" hidden="1">
      <c r="A65" s="2007"/>
      <c r="B65" s="2007"/>
      <c r="C65" s="596" t="s">
        <v>1151</v>
      </c>
      <c r="D65" s="2689"/>
      <c r="E65" s="2431"/>
      <c r="F65" s="2610"/>
      <c r="G65" s="627"/>
      <c r="H65" s="1727"/>
      <c r="I65" s="878"/>
      <c r="J65" s="798"/>
      <c r="K65" s="1727"/>
      <c r="L65" s="441"/>
      <c r="M65" s="2397"/>
      <c r="N65" s="561"/>
      <c r="O65" s="1851"/>
      <c r="P65" s="1851"/>
      <c r="AH65" s="1858">
        <v>0</v>
      </c>
    </row>
    <row s="11160" customFormat="1" customHeight="1" ht="18.75">
      <c r="A66" s="2007" t="s">
        <v>249</v>
      </c>
      <c r="B66" s="2007" t="s">
        <v>250</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тариф на горячую воду</v>
      </c>
      <c r="H66" s="2089"/>
      <c r="I66" s="10335">
        <v>45839</v>
      </c>
      <c r="J66" s="10336">
        <v>46203</v>
      </c>
      <c r="K66" s="2092" t="s">
        <v>1152</v>
      </c>
      <c r="L66" s="2089" t="s">
        <v>308</v>
      </c>
      <c r="M66" s="2397"/>
      <c r="N66" s="561"/>
      <c r="O66" s="1851"/>
      <c r="P66" s="1851"/>
      <c r="AH66" s="1858">
        <v>0</v>
      </c>
    </row>
    <row s="12345" customFormat="1" customHeight="1" ht="56.25">
      <c r="A67" s="10337"/>
      <c r="B67" s="10337"/>
      <c r="C67" s="10338"/>
      <c r="D67" s="10339"/>
      <c r="E67" s="10340"/>
      <c r="F67" s="10340"/>
      <c r="G67" s="10340"/>
      <c r="H67" s="9553" t="s">
        <v>531</v>
      </c>
      <c r="I67" s="10335">
        <v>46204</v>
      </c>
      <c r="J67" s="10336">
        <v>46568</v>
      </c>
      <c r="K67" s="10341" t="s">
        <v>1152</v>
      </c>
      <c r="L67" s="9553" t="s">
        <v>308</v>
      </c>
      <c r="M67" s="10342"/>
      <c r="N67" s="10343"/>
      <c r="O67" s="10344"/>
      <c r="P67" s="10344"/>
      <c r="Q67" s="9408"/>
      <c r="R67" s="9408"/>
      <c r="S67" s="9408"/>
      <c r="T67" s="9408"/>
      <c r="U67" s="9408"/>
      <c r="V67" s="9408"/>
      <c r="W67" s="9408"/>
      <c r="X67" s="9408"/>
      <c r="Y67" s="9408"/>
      <c r="Z67" s="9408"/>
      <c r="AA67" s="9408"/>
      <c r="AB67" s="9408"/>
      <c r="AC67" s="9408"/>
      <c r="AD67" s="9408"/>
      <c r="AE67" s="9408"/>
      <c r="AF67" s="9408"/>
      <c r="AG67" s="9408"/>
      <c r="AH67" s="9408">
        <v>0</v>
      </c>
    </row>
    <row s="12345" customFormat="1" customHeight="1" ht="56.25">
      <c r="A68" s="10337"/>
      <c r="B68" s="10337"/>
      <c r="C68" s="10338"/>
      <c r="D68" s="10339"/>
      <c r="E68" s="10340"/>
      <c r="F68" s="10340"/>
      <c r="G68" s="10340"/>
      <c r="H68" s="9553" t="s">
        <v>531</v>
      </c>
      <c r="I68" s="10335">
        <v>46569</v>
      </c>
      <c r="J68" s="10336">
        <v>46934</v>
      </c>
      <c r="K68" s="10341" t="s">
        <v>1152</v>
      </c>
      <c r="L68" s="9553" t="s">
        <v>308</v>
      </c>
      <c r="M68" s="10342"/>
      <c r="N68" s="10343"/>
      <c r="O68" s="10344"/>
      <c r="P68" s="10344"/>
      <c r="Q68" s="9408"/>
      <c r="R68" s="9408"/>
      <c r="S68" s="9408"/>
      <c r="T68" s="9408"/>
      <c r="U68" s="9408"/>
      <c r="V68" s="9408"/>
      <c r="W68" s="9408"/>
      <c r="X68" s="9408"/>
      <c r="Y68" s="9408"/>
      <c r="Z68" s="9408"/>
      <c r="AA68" s="9408"/>
      <c r="AB68" s="9408"/>
      <c r="AC68" s="9408"/>
      <c r="AD68" s="9408"/>
      <c r="AE68" s="9408"/>
      <c r="AF68" s="9408"/>
      <c r="AG68" s="9408"/>
      <c r="AH68" s="9408">
        <v>0</v>
      </c>
    </row>
    <row s="12345" customFormat="1" customHeight="1" ht="56.25">
      <c r="A69" s="10337"/>
      <c r="B69" s="10337"/>
      <c r="C69" s="10338"/>
      <c r="D69" s="10339"/>
      <c r="E69" s="10340"/>
      <c r="F69" s="10340"/>
      <c r="G69" s="10340"/>
      <c r="H69" s="9553" t="s">
        <v>531</v>
      </c>
      <c r="I69" s="10335">
        <v>46935</v>
      </c>
      <c r="J69" s="10336">
        <v>47118</v>
      </c>
      <c r="K69" s="10341" t="s">
        <v>1152</v>
      </c>
      <c r="L69" s="9553" t="s">
        <v>308</v>
      </c>
      <c r="M69" s="10342"/>
      <c r="N69" s="10343"/>
      <c r="O69" s="10344"/>
      <c r="P69" s="10344"/>
      <c r="Q69" s="9408"/>
      <c r="R69" s="9408"/>
      <c r="S69" s="9408"/>
      <c r="T69" s="9408"/>
      <c r="U69" s="9408"/>
      <c r="V69" s="9408"/>
      <c r="W69" s="9408"/>
      <c r="X69" s="9408"/>
      <c r="Y69" s="9408"/>
      <c r="Z69" s="9408"/>
      <c r="AA69" s="9408"/>
      <c r="AB69" s="9408"/>
      <c r="AC69" s="9408"/>
      <c r="AD69" s="9408"/>
      <c r="AE69" s="9408"/>
      <c r="AF69" s="9408"/>
      <c r="AG69" s="9408"/>
      <c r="AH69" s="9408">
        <v>0</v>
      </c>
    </row>
    <row s="11160" customFormat="1" customHeight="1" ht="18.75">
      <c r="A70" s="2007"/>
      <c r="B70" s="2007"/>
      <c r="C70" s="596" t="s">
        <v>1145</v>
      </c>
      <c r="D70" s="2689"/>
      <c r="E70" s="2431"/>
      <c r="F70" s="2610"/>
      <c r="G70" s="2654"/>
      <c r="H70" s="1727"/>
      <c r="I70" s="878" t="s">
        <v>1146</v>
      </c>
      <c r="J70" s="798"/>
      <c r="K70" s="1727"/>
      <c r="L70" s="441"/>
      <c r="M70" s="2397"/>
      <c r="N70" s="561"/>
      <c r="O70" s="1851"/>
      <c r="P70" s="1851"/>
      <c r="AH70" s="1858">
        <v>0</v>
      </c>
    </row>
    <row s="11160" customFormat="1" customHeight="1" ht="0.75">
      <c r="A71" s="2007"/>
      <c r="B71" s="2007"/>
      <c r="C71" s="596" t="s">
        <v>1151</v>
      </c>
      <c r="D71" s="2689"/>
      <c r="E71" s="2431"/>
      <c r="F71" s="2610"/>
      <c r="G71" s="627"/>
      <c r="H71" s="1727"/>
      <c r="I71" s="878"/>
      <c r="J71" s="798"/>
      <c r="K71" s="1727"/>
      <c r="L71" s="441"/>
      <c r="M71" s="2397"/>
      <c r="N71" s="561"/>
      <c r="O71" s="1851"/>
      <c r="P71" s="1851"/>
      <c r="AH71" s="1858">
        <v>0</v>
      </c>
    </row>
    <row s="11160" customFormat="1" customHeight="1" ht="18.75" hidden="1">
      <c r="A72" s="2007" t="s">
        <v>257</v>
      </c>
      <c r="B72" s="2007" t="s">
        <v>258</v>
      </c>
      <c r="C72" s="596"/>
      <c r="D72" s="2689"/>
      <c r="E72" s="2431"/>
      <c r="F72" s="2610" t="str">
        <f>INDEX(PT_DIFFERENTIATION_VTAR,MATCH(A72,PT_DIFFERENTIATION_VTAR_ID,0))</f>
        <v>Тариф на транспортировку горячей воды</v>
      </c>
      <c r="G72" s="2654" t="str">
        <f>INDEX(PT_DIFFERENTIATION_NTAR,MATCH(B72,PT_DIFFERENTIATION_NTAR_ID,0))</f>
        <v/>
      </c>
      <c r="H72" s="2089"/>
      <c r="I72" s="1966"/>
      <c r="J72" s="2000"/>
      <c r="K72" s="2092"/>
      <c r="L72" s="2089" t="s">
        <v>308</v>
      </c>
      <c r="M72" s="2397"/>
      <c r="N72" s="561"/>
      <c r="O72" s="1851"/>
      <c r="P72" s="1851"/>
      <c r="AH72" s="1858">
        <v>0</v>
      </c>
    </row>
    <row s="11160" customFormat="1" customHeight="1" ht="18.75" hidden="1">
      <c r="A73" s="2007"/>
      <c r="B73" s="2007"/>
      <c r="C73" s="596" t="s">
        <v>1145</v>
      </c>
      <c r="D73" s="2689"/>
      <c r="E73" s="2431"/>
      <c r="F73" s="2610"/>
      <c r="G73" s="2654"/>
      <c r="H73" s="1727"/>
      <c r="I73" s="878" t="s">
        <v>1146</v>
      </c>
      <c r="J73" s="798"/>
      <c r="K73" s="1727"/>
      <c r="L73" s="441"/>
      <c r="M73" s="2397"/>
      <c r="N73" s="561"/>
      <c r="O73" s="1851"/>
      <c r="P73" s="1851"/>
      <c r="AH73" s="1858">
        <v>0</v>
      </c>
    </row>
    <row s="11160" customFormat="1" customHeight="1" ht="0.75" hidden="1">
      <c r="A74" s="2007"/>
      <c r="B74" s="2007"/>
      <c r="C74" s="596" t="s">
        <v>1151</v>
      </c>
      <c r="D74" s="2689"/>
      <c r="E74" s="2431"/>
      <c r="F74" s="2610"/>
      <c r="G74" s="627"/>
      <c r="H74" s="1727"/>
      <c r="I74" s="878"/>
      <c r="J74" s="798"/>
      <c r="K74" s="1727"/>
      <c r="L74" s="441"/>
      <c r="M74" s="2397"/>
      <c r="N74" s="561"/>
      <c r="O74" s="1851"/>
      <c r="P74" s="1851"/>
      <c r="AH74" s="1858">
        <v>0</v>
      </c>
    </row>
    <row s="11160" customFormat="1" customHeight="1" ht="18.75" hidden="1">
      <c r="A75" s="2007" t="s">
        <v>262</v>
      </c>
      <c r="B75" s="2007" t="s">
        <v>263</v>
      </c>
      <c r="C75" s="596"/>
      <c r="D75" s="2689"/>
      <c r="E75" s="2431"/>
      <c r="F75" s="2610" t="str">
        <f>INDEX(PT_DIFFERENTIATION_VTAR,MATCH(A75,PT_DIFFERENTIATION_VTAR_ID,0))</f>
        <v>Тариф на подключение (технологическое присоединение) к централизованной системе горячего водоснабжения</v>
      </c>
      <c r="G75" s="2654" t="str">
        <f>INDEX(PT_DIFFERENTIATION_NTAR,MATCH(B75,PT_DIFFERENTIATION_NTAR_ID,0))</f>
        <v/>
      </c>
      <c r="H75" s="2089"/>
      <c r="I75" s="1966"/>
      <c r="J75" s="2000"/>
      <c r="K75" s="2092"/>
      <c r="L75" s="2089" t="s">
        <v>308</v>
      </c>
      <c r="M75" s="2397"/>
      <c r="N75" s="561"/>
      <c r="O75" s="1851"/>
      <c r="P75" s="1851"/>
      <c r="AH75" s="1858">
        <v>0</v>
      </c>
    </row>
    <row s="11160" customFormat="1" customHeight="1" ht="18.75" hidden="1">
      <c r="A76" s="2007"/>
      <c r="B76" s="2007"/>
      <c r="C76" s="596" t="s">
        <v>1145</v>
      </c>
      <c r="D76" s="2689"/>
      <c r="E76" s="2431"/>
      <c r="F76" s="2610"/>
      <c r="G76" s="2654"/>
      <c r="H76" s="1727"/>
      <c r="I76" s="878" t="s">
        <v>1146</v>
      </c>
      <c r="J76" s="798"/>
      <c r="K76" s="1727"/>
      <c r="L76" s="441"/>
      <c r="M76" s="2397"/>
      <c r="N76" s="561"/>
      <c r="O76" s="1851"/>
      <c r="P76" s="1851"/>
      <c r="AH76" s="1858">
        <v>0</v>
      </c>
    </row>
    <row s="11160" customFormat="1" customHeight="1" ht="0.75" hidden="1">
      <c r="A77" s="2007"/>
      <c r="B77" s="2007"/>
      <c r="C77" s="596" t="s">
        <v>1151</v>
      </c>
      <c r="D77" s="2689"/>
      <c r="E77" s="2431"/>
      <c r="F77" s="2610"/>
      <c r="G77" s="627"/>
      <c r="H77" s="1727"/>
      <c r="I77" s="878"/>
      <c r="J77" s="798"/>
      <c r="K77" s="1727"/>
      <c r="L77" s="441"/>
      <c r="M77" s="2397"/>
      <c r="N77" s="561"/>
      <c r="O77" s="1851"/>
      <c r="P77" s="1851"/>
      <c r="AH77" s="1858">
        <v>0</v>
      </c>
    </row>
    <row s="11160" customFormat="1" customHeight="1" ht="18.75" hidden="1">
      <c r="A78" s="2007" t="s">
        <v>267</v>
      </c>
      <c r="B78" s="2007" t="s">
        <v>268</v>
      </c>
      <c r="C78" s="596"/>
      <c r="D78" s="2689"/>
      <c r="E78" s="2431"/>
      <c r="F78" s="2610" t="str">
        <f>INDEX(PT_DIFFERENTIATION_VTAR,MATCH(A78,PT_DIFFERENTIATION_VTAR_ID,0))</f>
        <v>Тариф на водоотведение</v>
      </c>
      <c r="G78" s="2654" t="str">
        <f>INDEX(PT_DIFFERENTIATION_NTAR,MATCH(B78,PT_DIFFERENTIATION_NTAR_ID,0))</f>
        <v/>
      </c>
      <c r="H78" s="2089"/>
      <c r="I78" s="1966"/>
      <c r="J78" s="2000"/>
      <c r="K78" s="2092"/>
      <c r="L78" s="2089" t="s">
        <v>308</v>
      </c>
      <c r="M78" s="2397"/>
      <c r="N78" s="561"/>
      <c r="O78" s="1851"/>
      <c r="P78" s="1851"/>
      <c r="AH78" s="1858">
        <v>0</v>
      </c>
    </row>
    <row s="11160" customFormat="1" customHeight="1" ht="18.75" hidden="1">
      <c r="A79" s="2007"/>
      <c r="B79" s="2007"/>
      <c r="C79" s="596" t="s">
        <v>1145</v>
      </c>
      <c r="D79" s="2689"/>
      <c r="E79" s="2431"/>
      <c r="F79" s="2610"/>
      <c r="G79" s="2654"/>
      <c r="H79" s="1727"/>
      <c r="I79" s="878" t="s">
        <v>1146</v>
      </c>
      <c r="J79" s="798"/>
      <c r="K79" s="1727"/>
      <c r="L79" s="441"/>
      <c r="M79" s="2397"/>
      <c r="N79" s="561"/>
      <c r="O79" s="1851"/>
      <c r="P79" s="1851"/>
      <c r="AH79" s="1858">
        <v>0</v>
      </c>
    </row>
    <row s="11160" customFormat="1" customHeight="1" ht="0.75" hidden="1">
      <c r="A80" s="2007"/>
      <c r="B80" s="2007"/>
      <c r="C80" s="596" t="s">
        <v>1151</v>
      </c>
      <c r="D80" s="2689"/>
      <c r="E80" s="2431"/>
      <c r="F80" s="2610"/>
      <c r="G80" s="627"/>
      <c r="H80" s="1727"/>
      <c r="I80" s="878"/>
      <c r="J80" s="798"/>
      <c r="K80" s="1727"/>
      <c r="L80" s="441"/>
      <c r="M80" s="2397"/>
      <c r="N80" s="561"/>
      <c r="O80" s="1851"/>
      <c r="P80" s="1851"/>
      <c r="AH80" s="1858">
        <v>0</v>
      </c>
    </row>
    <row s="11160" customFormat="1" customHeight="1" ht="18.75" hidden="1">
      <c r="A81" s="2007" t="s">
        <v>272</v>
      </c>
      <c r="B81" s="2007" t="s">
        <v>273</v>
      </c>
      <c r="C81" s="596"/>
      <c r="D81" s="2689"/>
      <c r="E81" s="2431"/>
      <c r="F81" s="2610" t="str">
        <f>INDEX(PT_DIFFERENTIATION_VTAR,MATCH(A81,PT_DIFFERENTIATION_VTAR_ID,0))</f>
        <v>Тариф на транспортировку сточных вод</v>
      </c>
      <c r="G81" s="2654" t="str">
        <f>INDEX(PT_DIFFERENTIATION_NTAR,MATCH(B81,PT_DIFFERENTIATION_NTAR_ID,0))</f>
        <v/>
      </c>
      <c r="H81" s="2089"/>
      <c r="I81" s="1966"/>
      <c r="J81" s="2000"/>
      <c r="K81" s="2092"/>
      <c r="L81" s="2089" t="s">
        <v>308</v>
      </c>
      <c r="M81" s="2397"/>
      <c r="N81" s="561"/>
      <c r="O81" s="1851"/>
      <c r="P81" s="1851"/>
      <c r="AH81" s="1858">
        <v>0</v>
      </c>
    </row>
    <row s="11160" customFormat="1" customHeight="1" ht="18.75" hidden="1">
      <c r="A82" s="2007"/>
      <c r="B82" s="2007"/>
      <c r="C82" s="596" t="s">
        <v>1145</v>
      </c>
      <c r="D82" s="2689"/>
      <c r="E82" s="2431"/>
      <c r="F82" s="2610"/>
      <c r="G82" s="2654"/>
      <c r="H82" s="1727"/>
      <c r="I82" s="878" t="s">
        <v>1146</v>
      </c>
      <c r="J82" s="798"/>
      <c r="K82" s="1727"/>
      <c r="L82" s="441"/>
      <c r="M82" s="2397"/>
      <c r="N82" s="561"/>
      <c r="O82" s="1851"/>
      <c r="P82" s="1851"/>
      <c r="AH82" s="1858">
        <v>0</v>
      </c>
    </row>
    <row s="11160" customFormat="1" customHeight="1" ht="0.75" hidden="1">
      <c r="A83" s="2007"/>
      <c r="B83" s="2007"/>
      <c r="C83" s="596" t="s">
        <v>1151</v>
      </c>
      <c r="D83" s="2689"/>
      <c r="E83" s="2431"/>
      <c r="F83" s="2610"/>
      <c r="G83" s="627"/>
      <c r="H83" s="1727"/>
      <c r="I83" s="878"/>
      <c r="J83" s="798"/>
      <c r="K83" s="1727"/>
      <c r="L83" s="441"/>
      <c r="M83" s="2397"/>
      <c r="N83" s="561"/>
      <c r="O83" s="1851"/>
      <c r="P83" s="1851"/>
      <c r="AH83" s="1858">
        <v>0</v>
      </c>
    </row>
    <row s="11160" customFormat="1" customHeight="1" ht="18.75" hidden="1">
      <c r="A84" s="2007" t="s">
        <v>277</v>
      </c>
      <c r="B84" s="2007" t="s">
        <v>278</v>
      </c>
      <c r="C84" s="596"/>
      <c r="D84" s="2689"/>
      <c r="E84" s="2431"/>
      <c r="F84" s="2610" t="str">
        <f>INDEX(PT_DIFFERENTIATION_VTAR,MATCH(A84,PT_DIFFERENTIATION_VTAR_ID,0))</f>
        <v>Тариф на подключение (технологическое присоединение) к централизованной системе водоотведения</v>
      </c>
      <c r="G84" s="2654" t="str">
        <f>INDEX(PT_DIFFERENTIATION_NTAR,MATCH(B84,PT_DIFFERENTIATION_NTAR_ID,0))</f>
        <v/>
      </c>
      <c r="H84" s="2089"/>
      <c r="I84" s="1966"/>
      <c r="J84" s="2000"/>
      <c r="K84" s="2092"/>
      <c r="L84" s="2089" t="s">
        <v>308</v>
      </c>
      <c r="M84" s="2397"/>
      <c r="N84" s="561"/>
      <c r="O84" s="1851"/>
      <c r="P84" s="1851"/>
      <c r="AH84" s="1858">
        <v>0</v>
      </c>
    </row>
    <row s="11160" customFormat="1" customHeight="1" ht="18.75" hidden="1">
      <c r="A85" s="2007"/>
      <c r="B85" s="2007"/>
      <c r="C85" s="596" t="s">
        <v>1145</v>
      </c>
      <c r="D85" s="2689"/>
      <c r="E85" s="2431"/>
      <c r="F85" s="2610"/>
      <c r="G85" s="2654"/>
      <c r="H85" s="1727"/>
      <c r="I85" s="878" t="s">
        <v>1146</v>
      </c>
      <c r="J85" s="798"/>
      <c r="K85" s="1727"/>
      <c r="L85" s="441"/>
      <c r="M85" s="2397"/>
      <c r="N85" s="561"/>
      <c r="O85" s="1851"/>
      <c r="P85" s="1851"/>
      <c r="AH85" s="1858">
        <v>0</v>
      </c>
    </row>
    <row s="11160" customFormat="1" customHeight="1" ht="1.05">
      <c r="A86" s="2007"/>
      <c r="B86" s="2007"/>
      <c r="C86" s="596" t="s">
        <v>1151</v>
      </c>
      <c r="D86" s="2689"/>
      <c r="E86" s="2431"/>
      <c r="F86" s="2610"/>
      <c r="G86" s="627"/>
      <c r="H86" s="1727"/>
      <c r="I86" s="878"/>
      <c r="J86" s="798"/>
      <c r="K86" s="1727"/>
      <c r="L86" s="441"/>
      <c r="M86" s="2397"/>
      <c r="N86" s="561"/>
      <c r="O86" s="1851"/>
      <c r="P86" s="1851"/>
      <c r="AH86" s="1858">
        <v>1</v>
      </c>
    </row>
    <row customHeight="1" ht="19.95">
      <c r="A87" s="2007"/>
      <c r="B87" s="2007"/>
      <c r="D87" s="603"/>
      <c r="E87" s="374" t="s">
        <v>109</v>
      </c>
      <c r="F87"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7" s="2687"/>
      <c r="H87" s="2687"/>
      <c r="I87" s="2687"/>
      <c r="J87" s="2687"/>
      <c r="K87" s="2687"/>
      <c r="L87" s="2687"/>
      <c r="M87" s="524"/>
      <c r="N87" s="561"/>
      <c r="AH87" s="601">
        <v>19</v>
      </c>
    </row>
    <row customHeight="1" ht="36">
      <c r="A88" s="2007"/>
      <c r="B88" s="2007"/>
      <c r="D88" s="603"/>
      <c r="E88" s="626"/>
      <c r="F88" s="425" t="s">
        <v>308</v>
      </c>
      <c r="G88" s="425" t="s">
        <v>308</v>
      </c>
      <c r="H88" s="2445" t="s">
        <v>308</v>
      </c>
      <c r="I88" s="2447"/>
      <c r="J88" s="425" t="s">
        <v>308</v>
      </c>
      <c r="K88" s="425" t="s">
        <v>308</v>
      </c>
      <c r="L88" s="10346" t="s">
        <v>1153</v>
      </c>
      <c r="M88" s="572" t="s">
        <v>1154</v>
      </c>
      <c r="N88" s="561"/>
      <c r="AH88" s="601">
        <v>34</v>
      </c>
    </row>
    <row customHeight="1" ht="19.95">
      <c r="A89" s="2007"/>
      <c r="B89" s="2007"/>
      <c r="D89" s="603"/>
      <c r="E89" s="374" t="s">
        <v>89</v>
      </c>
      <c r="F89" s="2687" t="s">
        <v>1155</v>
      </c>
      <c r="G89" s="2687"/>
      <c r="H89" s="2687"/>
      <c r="I89" s="2687"/>
      <c r="J89" s="2687"/>
      <c r="K89" s="2687"/>
      <c r="L89" s="2687"/>
      <c r="M89" s="524"/>
      <c r="N89" s="561"/>
      <c r="AH89" s="601">
        <v>19</v>
      </c>
    </row>
    <row s="11160" customFormat="1" customHeight="1" ht="60.75" hidden="1">
      <c r="A90" s="2007" t="s">
        <v>154</v>
      </c>
      <c r="B90" s="2007" t="s">
        <v>155</v>
      </c>
      <c r="C90" s="596"/>
      <c r="D90" s="2689"/>
      <c r="E90" s="2431"/>
      <c r="F90" s="2610"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654" t="str">
        <f>INDEX(PT_DIFFERENTIATION_NTAR,MATCH(B90,PT_DIFFERENTIATION_NTAR_ID,0))</f>
        <v/>
      </c>
      <c r="H90" s="2089"/>
      <c r="I90" s="1966"/>
      <c r="J90" s="2000"/>
      <c r="K90" s="2005"/>
      <c r="L90" s="2089" t="s">
        <v>308</v>
      </c>
      <c r="M9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561"/>
      <c r="O90" s="1851"/>
      <c r="P90" s="1851"/>
      <c r="AH90" s="1858">
        <v>0</v>
      </c>
    </row>
    <row s="11160" customFormat="1" customHeight="1" ht="18.75" hidden="1">
      <c r="A91" s="2007"/>
      <c r="B91" s="2007"/>
      <c r="C91" s="596" t="s">
        <v>1147</v>
      </c>
      <c r="D91" s="2689"/>
      <c r="E91" s="2431"/>
      <c r="F91" s="2610"/>
      <c r="G91" s="2654"/>
      <c r="H91" s="1727"/>
      <c r="I91" s="878" t="s">
        <v>1146</v>
      </c>
      <c r="J91" s="798"/>
      <c r="K91" s="1727"/>
      <c r="L91" s="441"/>
      <c r="M91" s="2397"/>
      <c r="N91" s="561"/>
      <c r="O91" s="1851"/>
      <c r="P91" s="1851"/>
      <c r="AH91" s="1858">
        <v>0</v>
      </c>
    </row>
    <row s="11160" customFormat="1" customHeight="1" ht="0.75" hidden="1">
      <c r="A92" s="2007"/>
      <c r="B92" s="2007"/>
      <c r="C92" s="596" t="s">
        <v>1156</v>
      </c>
      <c r="D92" s="2689"/>
      <c r="E92" s="2431"/>
      <c r="F92" s="2610"/>
      <c r="G92" s="627"/>
      <c r="H92" s="1727"/>
      <c r="I92" s="878"/>
      <c r="J92" s="798"/>
      <c r="K92" s="1727"/>
      <c r="L92" s="441"/>
      <c r="M92" s="2397"/>
      <c r="N92" s="561"/>
      <c r="O92" s="1851"/>
      <c r="P92" s="1851"/>
      <c r="AH92" s="1858">
        <v>0</v>
      </c>
    </row>
    <row s="11160" customFormat="1" customHeight="1" ht="45" hidden="1">
      <c r="A93" s="2007" t="s">
        <v>159</v>
      </c>
      <c r="B93" s="2007" t="s">
        <v>160</v>
      </c>
      <c r="C93" s="596"/>
      <c r="D93" s="2689"/>
      <c r="E93" s="2431"/>
      <c r="F93" s="2610" t="str">
        <f>INDEX(PT_DIFFERENTIATION_VTAR,MATCH(A93,PT_DIFFERENTIATION_VTAR_ID,0))</f>
        <v/>
      </c>
      <c r="G93" s="2654" t="str">
        <f>INDEX(PT_DIFFERENTIATION_NTAR,MATCH(B93,PT_DIFFERENTIATION_NTAR_ID,0))</f>
        <v/>
      </c>
      <c r="H93" s="2089"/>
      <c r="I93" s="1966"/>
      <c r="J93" s="2000"/>
      <c r="K93" s="2005"/>
      <c r="L93" s="2089" t="s">
        <v>308</v>
      </c>
      <c r="M93" s="2398"/>
      <c r="N93" s="561"/>
      <c r="O93" s="1851"/>
      <c r="P93" s="1851"/>
      <c r="AH93" s="1858">
        <v>0</v>
      </c>
    </row>
    <row s="11160" customFormat="1" customHeight="1" ht="18.75" hidden="1">
      <c r="A94" s="2007"/>
      <c r="B94" s="2007"/>
      <c r="C94" s="596" t="s">
        <v>1147</v>
      </c>
      <c r="D94" s="2689"/>
      <c r="E94" s="2431"/>
      <c r="F94" s="2610"/>
      <c r="G94" s="2654"/>
      <c r="H94" s="1727"/>
      <c r="I94" s="878" t="s">
        <v>1146</v>
      </c>
      <c r="J94" s="798"/>
      <c r="K94" s="1727"/>
      <c r="L94" s="441"/>
      <c r="M94" s="2088"/>
      <c r="N94" s="561"/>
      <c r="O94" s="1851"/>
      <c r="P94" s="1851"/>
      <c r="AH94" s="1858">
        <v>0</v>
      </c>
    </row>
    <row s="11160" customFormat="1" customHeight="1" ht="0.75" hidden="1">
      <c r="A95" s="2007"/>
      <c r="B95" s="2007"/>
      <c r="C95" s="596" t="s">
        <v>1156</v>
      </c>
      <c r="D95" s="2689"/>
      <c r="E95" s="2431"/>
      <c r="F95" s="2610"/>
      <c r="G95" s="627"/>
      <c r="H95" s="1727"/>
      <c r="I95" s="878"/>
      <c r="J95" s="798"/>
      <c r="K95" s="1727"/>
      <c r="L95" s="441"/>
      <c r="M95" s="568"/>
      <c r="N95" s="561"/>
      <c r="O95" s="1851"/>
      <c r="P95" s="1851"/>
      <c r="AH95" s="1858">
        <v>0</v>
      </c>
    </row>
    <row s="11160" customFormat="1" customHeight="1" ht="45" hidden="1">
      <c r="A96" s="2007" t="s">
        <v>166</v>
      </c>
      <c r="B96" s="2007" t="s">
        <v>167</v>
      </c>
      <c r="C96" s="596"/>
      <c r="D96" s="2689"/>
      <c r="E96" s="2431"/>
      <c r="F96" s="2610"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654" t="str">
        <f>INDEX(PT_DIFFERENTIATION_NTAR,MATCH(B96,PT_DIFFERENTIATION_NTAR_ID,0))</f>
        <v/>
      </c>
      <c r="H96" s="2089"/>
      <c r="I96" s="1966"/>
      <c r="J96" s="2000"/>
      <c r="K96" s="2005"/>
      <c r="L96" s="2089" t="s">
        <v>308</v>
      </c>
      <c r="M96" s="568"/>
      <c r="N96" s="561"/>
      <c r="O96" s="1851"/>
      <c r="P96" s="1851"/>
      <c r="AH96" s="1858">
        <v>0</v>
      </c>
    </row>
    <row s="11160" customFormat="1" customHeight="1" ht="18.75" hidden="1">
      <c r="A97" s="2007"/>
      <c r="B97" s="2007"/>
      <c r="C97" s="596" t="s">
        <v>1147</v>
      </c>
      <c r="D97" s="2689"/>
      <c r="E97" s="2431"/>
      <c r="F97" s="2610"/>
      <c r="G97" s="2654"/>
      <c r="H97" s="1727"/>
      <c r="I97" s="878" t="s">
        <v>1146</v>
      </c>
      <c r="J97" s="798"/>
      <c r="K97" s="1727"/>
      <c r="L97" s="441"/>
      <c r="M97" s="568"/>
      <c r="N97" s="561"/>
      <c r="O97" s="1851"/>
      <c r="P97" s="1851"/>
      <c r="AH97" s="1858">
        <v>0</v>
      </c>
    </row>
    <row s="11160" customFormat="1" customHeight="1" ht="0.75" hidden="1">
      <c r="A98" s="2007"/>
      <c r="B98" s="2007"/>
      <c r="C98" s="596" t="s">
        <v>1156</v>
      </c>
      <c r="D98" s="2689"/>
      <c r="E98" s="2431"/>
      <c r="F98" s="2610"/>
      <c r="G98" s="627"/>
      <c r="H98" s="1727"/>
      <c r="I98" s="878"/>
      <c r="J98" s="798"/>
      <c r="K98" s="1727"/>
      <c r="L98" s="441"/>
      <c r="M98" s="568"/>
      <c r="N98" s="561"/>
      <c r="O98" s="1851"/>
      <c r="P98" s="1851"/>
      <c r="AH98" s="1858">
        <v>0</v>
      </c>
    </row>
    <row s="11160" customFormat="1" customHeight="1" ht="45" hidden="1">
      <c r="A99" s="2007" t="s">
        <v>172</v>
      </c>
      <c r="B99" s="2007" t="s">
        <v>173</v>
      </c>
      <c r="C99" s="596"/>
      <c r="D99" s="2689"/>
      <c r="E99" s="2431"/>
      <c r="F99" s="2610"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654" t="str">
        <f>INDEX(PT_DIFFERENTIATION_NTAR,MATCH(B99,PT_DIFFERENTIATION_NTAR_ID,0))</f>
        <v/>
      </c>
      <c r="H99" s="2089"/>
      <c r="I99" s="1966"/>
      <c r="J99" s="2000"/>
      <c r="K99" s="2005"/>
      <c r="L99" s="2089" t="s">
        <v>308</v>
      </c>
      <c r="M99" s="568"/>
      <c r="N99" s="561"/>
      <c r="O99" s="1851"/>
      <c r="P99" s="1851"/>
      <c r="AH99" s="1858">
        <v>0</v>
      </c>
    </row>
    <row s="11160" customFormat="1" customHeight="1" ht="18.75" hidden="1">
      <c r="A100" s="2007"/>
      <c r="B100" s="2007"/>
      <c r="C100" s="596" t="s">
        <v>1147</v>
      </c>
      <c r="D100" s="2689"/>
      <c r="E100" s="2431"/>
      <c r="F100" s="2610"/>
      <c r="G100" s="2654"/>
      <c r="H100" s="1727"/>
      <c r="I100" s="878" t="s">
        <v>1146</v>
      </c>
      <c r="J100" s="798"/>
      <c r="K100" s="1727"/>
      <c r="L100" s="441"/>
      <c r="M100" s="568"/>
      <c r="N100" s="561"/>
      <c r="O100" s="1851"/>
      <c r="P100" s="1851"/>
      <c r="AH100" s="1858">
        <v>0</v>
      </c>
    </row>
    <row s="11160" customFormat="1" customHeight="1" ht="0.75" hidden="1">
      <c r="A101" s="2007"/>
      <c r="B101" s="2007"/>
      <c r="C101" s="596" t="s">
        <v>1156</v>
      </c>
      <c r="D101" s="2689"/>
      <c r="E101" s="2431"/>
      <c r="F101" s="2610"/>
      <c r="G101" s="627"/>
      <c r="H101" s="1727"/>
      <c r="I101" s="878"/>
      <c r="J101" s="798"/>
      <c r="K101" s="1727"/>
      <c r="L101" s="441"/>
      <c r="M101" s="568"/>
      <c r="N101" s="561"/>
      <c r="O101" s="1851"/>
      <c r="P101" s="1851"/>
      <c r="AH101" s="1858">
        <v>0</v>
      </c>
    </row>
    <row s="11160" customFormat="1" customHeight="1" ht="18.75" hidden="1">
      <c r="A102" s="2007" t="s">
        <v>178</v>
      </c>
      <c r="B102" s="2007" t="s">
        <v>179</v>
      </c>
      <c r="C102" s="596"/>
      <c r="D102" s="2689"/>
      <c r="E102" s="2431"/>
      <c r="F102" s="2610" t="str">
        <f>INDEX(PT_DIFFERENTIATION_VTAR,MATCH(A102,PT_DIFFERENTIATION_VTAR_ID,0))</f>
        <v>Тарифы на услуги по передаче тепловой энергии</v>
      </c>
      <c r="G102" s="2654" t="str">
        <f>INDEX(PT_DIFFERENTIATION_NTAR,MATCH(B102,PT_DIFFERENTIATION_NTAR_ID,0))</f>
        <v/>
      </c>
      <c r="H102" s="2089"/>
      <c r="I102" s="1966"/>
      <c r="J102" s="2000"/>
      <c r="K102" s="2005"/>
      <c r="L102" s="2089" t="s">
        <v>308</v>
      </c>
      <c r="M102" s="568"/>
      <c r="N102" s="561"/>
      <c r="O102" s="1851"/>
      <c r="P102" s="1851"/>
      <c r="AH102" s="1858">
        <v>0</v>
      </c>
    </row>
    <row s="11160" customFormat="1" customHeight="1" ht="18.75" hidden="1">
      <c r="A103" s="2007"/>
      <c r="B103" s="2007"/>
      <c r="C103" s="596" t="s">
        <v>1147</v>
      </c>
      <c r="D103" s="2689"/>
      <c r="E103" s="2431"/>
      <c r="F103" s="2610"/>
      <c r="G103" s="2654"/>
      <c r="H103" s="1727"/>
      <c r="I103" s="878" t="s">
        <v>1146</v>
      </c>
      <c r="J103" s="798"/>
      <c r="K103" s="1727"/>
      <c r="L103" s="441"/>
      <c r="M103" s="568"/>
      <c r="N103" s="561"/>
      <c r="O103" s="1851"/>
      <c r="P103" s="1851"/>
      <c r="AH103" s="1858">
        <v>0</v>
      </c>
    </row>
    <row s="11160" customFormat="1" customHeight="1" ht="0.75" hidden="1">
      <c r="A104" s="2007"/>
      <c r="B104" s="2007"/>
      <c r="C104" s="596" t="s">
        <v>1156</v>
      </c>
      <c r="D104" s="2689"/>
      <c r="E104" s="2431"/>
      <c r="F104" s="2610"/>
      <c r="G104" s="627"/>
      <c r="H104" s="1727"/>
      <c r="I104" s="878"/>
      <c r="J104" s="798"/>
      <c r="K104" s="1727"/>
      <c r="L104" s="441"/>
      <c r="M104" s="568"/>
      <c r="N104" s="561"/>
      <c r="O104" s="1851"/>
      <c r="P104" s="1851"/>
      <c r="AH104" s="1858">
        <v>0</v>
      </c>
    </row>
    <row s="11160" customFormat="1" customHeight="1" ht="18.75" hidden="1">
      <c r="A105" s="2007" t="s">
        <v>184</v>
      </c>
      <c r="B105" s="2007" t="s">
        <v>185</v>
      </c>
      <c r="C105" s="596"/>
      <c r="D105" s="2689"/>
      <c r="E105" s="2431"/>
      <c r="F105" s="2610" t="str">
        <f>INDEX(PT_DIFFERENTIATION_VTAR,MATCH(A105,PT_DIFFERENTIATION_VTAR_ID,0))</f>
        <v>Тарифы на услуги по передаче теплоносителя</v>
      </c>
      <c r="G105" s="2654" t="str">
        <f>INDEX(PT_DIFFERENTIATION_NTAR,MATCH(B105,PT_DIFFERENTIATION_NTAR_ID,0))</f>
        <v/>
      </c>
      <c r="H105" s="2089"/>
      <c r="I105" s="1966"/>
      <c r="J105" s="2000"/>
      <c r="K105" s="2005"/>
      <c r="L105" s="2089" t="s">
        <v>308</v>
      </c>
      <c r="M105" s="568"/>
      <c r="N105" s="561"/>
      <c r="O105" s="1851"/>
      <c r="P105" s="1851"/>
      <c r="AH105" s="1858">
        <v>0</v>
      </c>
    </row>
    <row s="11160" customFormat="1" customHeight="1" ht="18.75" hidden="1">
      <c r="A106" s="2007"/>
      <c r="B106" s="2007"/>
      <c r="C106" s="596" t="s">
        <v>1147</v>
      </c>
      <c r="D106" s="2689"/>
      <c r="E106" s="2431"/>
      <c r="F106" s="2610"/>
      <c r="G106" s="2654"/>
      <c r="H106" s="1727"/>
      <c r="I106" s="878" t="s">
        <v>1146</v>
      </c>
      <c r="J106" s="798"/>
      <c r="K106" s="1727"/>
      <c r="L106" s="441"/>
      <c r="M106" s="568"/>
      <c r="N106" s="561"/>
      <c r="O106" s="1851"/>
      <c r="P106" s="1851"/>
      <c r="AH106" s="1858">
        <v>0</v>
      </c>
    </row>
    <row s="11160" customFormat="1" customHeight="1" ht="0.75" hidden="1">
      <c r="A107" s="2007"/>
      <c r="B107" s="2007"/>
      <c r="C107" s="596" t="s">
        <v>1156</v>
      </c>
      <c r="D107" s="2689"/>
      <c r="E107" s="2431"/>
      <c r="F107" s="2610"/>
      <c r="G107" s="627"/>
      <c r="H107" s="1727"/>
      <c r="I107" s="878"/>
      <c r="J107" s="798"/>
      <c r="K107" s="1727"/>
      <c r="L107" s="441"/>
      <c r="M107" s="568"/>
      <c r="N107" s="561"/>
      <c r="O107" s="1851"/>
      <c r="P107" s="1851"/>
      <c r="AH107" s="1858">
        <v>0</v>
      </c>
    </row>
    <row s="11160" customFormat="1" customHeight="1" ht="18.75" hidden="1">
      <c r="A108" s="2007" t="s">
        <v>190</v>
      </c>
      <c r="B108" s="2007" t="s">
        <v>191</v>
      </c>
      <c r="C108" s="596"/>
      <c r="D108" s="2689"/>
      <c r="E108" s="2431"/>
      <c r="F108" s="2610"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654" t="str">
        <f>INDEX(PT_DIFFERENTIATION_NTAR,MATCH(B108,PT_DIFFERENTIATION_NTAR_ID,0))</f>
        <v/>
      </c>
      <c r="H108" s="2089"/>
      <c r="I108" s="1966"/>
      <c r="J108" s="2000"/>
      <c r="K108" s="2005"/>
      <c r="L108" s="2089" t="s">
        <v>308</v>
      </c>
      <c r="M108" s="568"/>
      <c r="N108" s="561"/>
      <c r="O108" s="1851"/>
      <c r="P108" s="1851"/>
      <c r="AH108" s="1858">
        <v>0</v>
      </c>
    </row>
    <row s="11160" customFormat="1" customHeight="1" ht="18.75" hidden="1">
      <c r="A109" s="2007"/>
      <c r="B109" s="2007"/>
      <c r="C109" s="596" t="s">
        <v>1147</v>
      </c>
      <c r="D109" s="2689"/>
      <c r="E109" s="2431"/>
      <c r="F109" s="2610"/>
      <c r="G109" s="2654"/>
      <c r="H109" s="1727"/>
      <c r="I109" s="878" t="s">
        <v>1146</v>
      </c>
      <c r="J109" s="798"/>
      <c r="K109" s="1727"/>
      <c r="L109" s="441"/>
      <c r="M109" s="568"/>
      <c r="N109" s="561"/>
      <c r="O109" s="1851"/>
      <c r="P109" s="1851"/>
      <c r="AH109" s="1858">
        <v>0</v>
      </c>
    </row>
    <row s="11160" customFormat="1" customHeight="1" ht="0.75" hidden="1">
      <c r="A110" s="2007"/>
      <c r="B110" s="2007"/>
      <c r="C110" s="596" t="s">
        <v>1156</v>
      </c>
      <c r="D110" s="2689"/>
      <c r="E110" s="2431"/>
      <c r="F110" s="2610"/>
      <c r="G110" s="627"/>
      <c r="H110" s="1727"/>
      <c r="I110" s="878"/>
      <c r="J110" s="798"/>
      <c r="K110" s="1727"/>
      <c r="L110" s="441"/>
      <c r="M110" s="568"/>
      <c r="N110" s="561"/>
      <c r="O110" s="1851"/>
      <c r="P110" s="1851"/>
      <c r="AH110" s="1858">
        <v>0</v>
      </c>
    </row>
    <row s="11160" customFormat="1" customHeight="1" ht="18.75" hidden="1">
      <c r="A111" s="2007" t="s">
        <v>196</v>
      </c>
      <c r="B111" s="2007" t="s">
        <v>197</v>
      </c>
      <c r="C111" s="596"/>
      <c r="D111" s="2689"/>
      <c r="E111" s="2431"/>
      <c r="F111" s="2610" t="str">
        <f>INDEX(PT_DIFFERENTIATION_VTAR,MATCH(A111,PT_DIFFERENTIATION_VTAR_ID,0))</f>
        <v>Плата за подключение (технологическое присоединение) к системе теплоснабжения</v>
      </c>
      <c r="G111" s="2654" t="str">
        <f>INDEX(PT_DIFFERENTIATION_NTAR,MATCH(B111,PT_DIFFERENTIATION_NTAR_ID,0))</f>
        <v/>
      </c>
      <c r="H111" s="2089"/>
      <c r="I111" s="1966"/>
      <c r="J111" s="2000"/>
      <c r="K111" s="2005"/>
      <c r="L111" s="2089" t="s">
        <v>308</v>
      </c>
      <c r="M111" s="568"/>
      <c r="N111" s="561"/>
      <c r="O111" s="1851"/>
      <c r="P111" s="1851"/>
      <c r="AH111" s="1858">
        <v>0</v>
      </c>
    </row>
    <row s="11160" customFormat="1" customHeight="1" ht="18.75" hidden="1">
      <c r="A112" s="2007"/>
      <c r="B112" s="2007"/>
      <c r="C112" s="596" t="s">
        <v>1147</v>
      </c>
      <c r="D112" s="2689"/>
      <c r="E112" s="2431"/>
      <c r="F112" s="2610"/>
      <c r="G112" s="2654"/>
      <c r="H112" s="1727"/>
      <c r="I112" s="878" t="s">
        <v>1146</v>
      </c>
      <c r="J112" s="798"/>
      <c r="K112" s="1727"/>
      <c r="L112" s="441"/>
      <c r="M112" s="568"/>
      <c r="N112" s="561"/>
      <c r="O112" s="1851"/>
      <c r="P112" s="1851"/>
      <c r="AH112" s="1858">
        <v>0</v>
      </c>
    </row>
    <row s="11160" customFormat="1" customHeight="1" ht="0.75" hidden="1">
      <c r="A113" s="2007"/>
      <c r="B113" s="2007"/>
      <c r="C113" s="596" t="s">
        <v>1156</v>
      </c>
      <c r="D113" s="2689"/>
      <c r="E113" s="2431"/>
      <c r="F113" s="2610"/>
      <c r="G113" s="627"/>
      <c r="H113" s="1727"/>
      <c r="I113" s="878"/>
      <c r="J113" s="798"/>
      <c r="K113" s="1727"/>
      <c r="L113" s="441"/>
      <c r="M113" s="568"/>
      <c r="N113" s="561"/>
      <c r="O113" s="1851"/>
      <c r="P113" s="1851"/>
      <c r="AH113" s="1858">
        <v>0</v>
      </c>
    </row>
    <row s="11160" customFormat="1" customHeight="1" ht="18.75" hidden="1">
      <c r="A114" s="2007" t="s">
        <v>202</v>
      </c>
      <c r="B114" s="2007" t="s">
        <v>203</v>
      </c>
      <c r="C114" s="596"/>
      <c r="D114" s="2689"/>
      <c r="E114" s="2431"/>
      <c r="F114" s="2610" t="str">
        <f>INDEX(PT_DIFFERENTIATION_VTAR,MATCH(A114,PT_DIFFERENTIATION_VTAR_ID,0))</f>
        <v>Плата за подключение (технологическое присоединение) к системе теплоснабжения (индивидуальная)</v>
      </c>
      <c r="G114" s="2654" t="str">
        <f>INDEX(PT_DIFFERENTIATION_NTAR,MATCH(B114,PT_DIFFERENTIATION_NTAR_ID,0))</f>
        <v/>
      </c>
      <c r="H114" s="2216"/>
      <c r="I114" s="1966"/>
      <c r="J114" s="2000"/>
      <c r="K114" s="2005"/>
      <c r="L114" s="2216" t="s">
        <v>308</v>
      </c>
      <c r="M114" s="568"/>
      <c r="N114" s="561"/>
      <c r="O114" s="1851"/>
      <c r="P114" s="1851"/>
      <c r="AH114" s="1858">
        <v>0</v>
      </c>
    </row>
    <row s="11160" customFormat="1" customHeight="1" ht="18.75" hidden="1">
      <c r="A115" s="2007"/>
      <c r="B115" s="2007"/>
      <c r="C115" s="596" t="s">
        <v>1147</v>
      </c>
      <c r="D115" s="2689"/>
      <c r="E115" s="2431"/>
      <c r="F115" s="2610"/>
      <c r="G115" s="2654"/>
      <c r="H115" s="1727"/>
      <c r="I115" s="878" t="s">
        <v>1146</v>
      </c>
      <c r="J115" s="798"/>
      <c r="K115" s="1727"/>
      <c r="L115" s="441"/>
      <c r="M115" s="568"/>
      <c r="N115" s="561"/>
      <c r="O115" s="1851"/>
      <c r="P115" s="1851"/>
      <c r="AH115" s="1858">
        <v>0</v>
      </c>
    </row>
    <row s="11160" customFormat="1" customHeight="1" ht="0.75" hidden="1">
      <c r="A116" s="2007"/>
      <c r="B116" s="2007"/>
      <c r="C116" s="596" t="s">
        <v>1156</v>
      </c>
      <c r="D116" s="2689"/>
      <c r="E116" s="2431"/>
      <c r="F116" s="2610"/>
      <c r="G116" s="627"/>
      <c r="H116" s="1727"/>
      <c r="I116" s="878"/>
      <c r="J116" s="798"/>
      <c r="K116" s="1727"/>
      <c r="L116" s="441"/>
      <c r="M116" s="568"/>
      <c r="N116" s="561"/>
      <c r="O116" s="1851"/>
      <c r="P116" s="1851"/>
      <c r="AH116" s="1858">
        <v>0</v>
      </c>
    </row>
    <row s="11160" customFormat="1" customHeight="1" ht="18.75" hidden="1">
      <c r="A117" s="2007" t="s">
        <v>222</v>
      </c>
      <c r="B117" s="2007" t="s">
        <v>223</v>
      </c>
      <c r="C117" s="596"/>
      <c r="D117" s="2689"/>
      <c r="E117" s="2431"/>
      <c r="F117" s="2610" t="str">
        <f>INDEX(PT_DIFFERENTIATION_VTAR,MATCH(A117,PT_DIFFERENTIATION_VTAR_ID,0))</f>
        <v>Тариф на питьевую воду (питьевое водоснабжение)</v>
      </c>
      <c r="G117" s="2654" t="str">
        <f>INDEX(PT_DIFFERENTIATION_NTAR,MATCH(B117,PT_DIFFERENTIATION_NTAR_ID,0))</f>
        <v/>
      </c>
      <c r="H117" s="2089"/>
      <c r="I117" s="1966"/>
      <c r="J117" s="2000"/>
      <c r="K117" s="2005"/>
      <c r="L117" s="2089" t="s">
        <v>308</v>
      </c>
      <c r="M117" s="568"/>
      <c r="N117" s="561"/>
      <c r="O117" s="1851"/>
      <c r="P117" s="1851"/>
      <c r="AH117" s="1858">
        <v>0</v>
      </c>
    </row>
    <row s="11160" customFormat="1" customHeight="1" ht="18.75" hidden="1">
      <c r="A118" s="2007"/>
      <c r="B118" s="2007"/>
      <c r="C118" s="596" t="s">
        <v>1147</v>
      </c>
      <c r="D118" s="2689"/>
      <c r="E118" s="2431"/>
      <c r="F118" s="2610"/>
      <c r="G118" s="2654"/>
      <c r="H118" s="1727"/>
      <c r="I118" s="878" t="s">
        <v>1146</v>
      </c>
      <c r="J118" s="798"/>
      <c r="K118" s="1727"/>
      <c r="L118" s="441"/>
      <c r="M118" s="568"/>
      <c r="N118" s="561"/>
      <c r="O118" s="1851"/>
      <c r="P118" s="1851"/>
      <c r="AH118" s="1858">
        <v>0</v>
      </c>
    </row>
    <row s="11160" customFormat="1" customHeight="1" ht="0.75" hidden="1">
      <c r="A119" s="2007"/>
      <c r="B119" s="2007"/>
      <c r="C119" s="596" t="s">
        <v>1156</v>
      </c>
      <c r="D119" s="2689"/>
      <c r="E119" s="2431"/>
      <c r="F119" s="2610"/>
      <c r="G119" s="627"/>
      <c r="H119" s="1727"/>
      <c r="I119" s="878"/>
      <c r="J119" s="798"/>
      <c r="K119" s="1727"/>
      <c r="L119" s="441"/>
      <c r="M119" s="568"/>
      <c r="N119" s="561"/>
      <c r="O119" s="1851"/>
      <c r="P119" s="1851"/>
      <c r="AH119" s="1858">
        <v>0</v>
      </c>
    </row>
    <row s="11160" customFormat="1" customHeight="1" ht="18.75" hidden="1">
      <c r="A120" s="2007" t="s">
        <v>227</v>
      </c>
      <c r="B120" s="2007" t="s">
        <v>228</v>
      </c>
      <c r="C120" s="596"/>
      <c r="D120" s="2689"/>
      <c r="E120" s="2431"/>
      <c r="F120" s="2610" t="str">
        <f>INDEX(PT_DIFFERENTIATION_VTAR,MATCH(A120,PT_DIFFERENTIATION_VTAR_ID,0))</f>
        <v>Тариф на техническую воду</v>
      </c>
      <c r="G120" s="2654" t="str">
        <f>INDEX(PT_DIFFERENTIATION_NTAR,MATCH(B120,PT_DIFFERENTIATION_NTAR_ID,0))</f>
        <v/>
      </c>
      <c r="H120" s="2089"/>
      <c r="I120" s="1966"/>
      <c r="J120" s="2000"/>
      <c r="K120" s="2005"/>
      <c r="L120" s="2089" t="s">
        <v>308</v>
      </c>
      <c r="M120" s="568"/>
      <c r="N120" s="561"/>
      <c r="O120" s="1851"/>
      <c r="P120" s="1851"/>
      <c r="AH120" s="1858">
        <v>0</v>
      </c>
    </row>
    <row s="11160" customFormat="1" customHeight="1" ht="18.75" hidden="1">
      <c r="A121" s="2007"/>
      <c r="B121" s="2007"/>
      <c r="C121" s="596" t="s">
        <v>1147</v>
      </c>
      <c r="D121" s="2689"/>
      <c r="E121" s="2431"/>
      <c r="F121" s="2610"/>
      <c r="G121" s="2654"/>
      <c r="H121" s="1727"/>
      <c r="I121" s="878" t="s">
        <v>1146</v>
      </c>
      <c r="J121" s="798"/>
      <c r="K121" s="1727"/>
      <c r="L121" s="441"/>
      <c r="M121" s="568"/>
      <c r="N121" s="561"/>
      <c r="O121" s="1851"/>
      <c r="P121" s="1851"/>
      <c r="AH121" s="1858">
        <v>0</v>
      </c>
    </row>
    <row s="11160" customFormat="1" customHeight="1" ht="0.75" hidden="1">
      <c r="A122" s="2007"/>
      <c r="B122" s="2007"/>
      <c r="C122" s="596" t="s">
        <v>1156</v>
      </c>
      <c r="D122" s="2689"/>
      <c r="E122" s="2431"/>
      <c r="F122" s="2610"/>
      <c r="G122" s="627"/>
      <c r="H122" s="1727"/>
      <c r="I122" s="878"/>
      <c r="J122" s="798"/>
      <c r="K122" s="1727"/>
      <c r="L122" s="441"/>
      <c r="M122" s="568"/>
      <c r="N122" s="561"/>
      <c r="O122" s="1851"/>
      <c r="P122" s="1851"/>
      <c r="AH122" s="1858">
        <v>0</v>
      </c>
    </row>
    <row s="11160" customFormat="1" customHeight="1" ht="18.75" hidden="1">
      <c r="A123" s="2007" t="s">
        <v>232</v>
      </c>
      <c r="B123" s="2007" t="s">
        <v>233</v>
      </c>
      <c r="C123" s="596"/>
      <c r="D123" s="2689"/>
      <c r="E123" s="2431"/>
      <c r="F123" s="2610" t="str">
        <f>INDEX(PT_DIFFERENTIATION_VTAR,MATCH(A123,PT_DIFFERENTIATION_VTAR_ID,0))</f>
        <v>Тариф на транспортировку воды</v>
      </c>
      <c r="G123" s="2654" t="str">
        <f>INDEX(PT_DIFFERENTIATION_NTAR,MATCH(B123,PT_DIFFERENTIATION_NTAR_ID,0))</f>
        <v/>
      </c>
      <c r="H123" s="2089"/>
      <c r="I123" s="1966"/>
      <c r="J123" s="2000"/>
      <c r="K123" s="2005"/>
      <c r="L123" s="2089" t="s">
        <v>308</v>
      </c>
      <c r="M123" s="568"/>
      <c r="N123" s="561"/>
      <c r="O123" s="1851"/>
      <c r="P123" s="1851"/>
      <c r="AH123" s="1858">
        <v>0</v>
      </c>
    </row>
    <row s="11160" customFormat="1" customHeight="1" ht="18.75" hidden="1">
      <c r="A124" s="2007"/>
      <c r="B124" s="2007"/>
      <c r="C124" s="596" t="s">
        <v>1147</v>
      </c>
      <c r="D124" s="2689"/>
      <c r="E124" s="2431"/>
      <c r="F124" s="2610"/>
      <c r="G124" s="2654"/>
      <c r="H124" s="1727"/>
      <c r="I124" s="878" t="s">
        <v>1146</v>
      </c>
      <c r="J124" s="798"/>
      <c r="K124" s="1727"/>
      <c r="L124" s="441"/>
      <c r="M124" s="568"/>
      <c r="N124" s="561"/>
      <c r="O124" s="1851"/>
      <c r="P124" s="1851"/>
      <c r="AH124" s="1858">
        <v>0</v>
      </c>
    </row>
    <row s="11160" customFormat="1" customHeight="1" ht="0.75" hidden="1">
      <c r="A125" s="2007"/>
      <c r="B125" s="2007"/>
      <c r="C125" s="596" t="s">
        <v>1156</v>
      </c>
      <c r="D125" s="2689"/>
      <c r="E125" s="2431"/>
      <c r="F125" s="2610"/>
      <c r="G125" s="627"/>
      <c r="H125" s="1727"/>
      <c r="I125" s="878"/>
      <c r="J125" s="798"/>
      <c r="K125" s="1727"/>
      <c r="L125" s="441"/>
      <c r="M125" s="568"/>
      <c r="N125" s="561"/>
      <c r="O125" s="1851"/>
      <c r="P125" s="1851"/>
      <c r="AH125" s="1858">
        <v>0</v>
      </c>
    </row>
    <row s="11160" customFormat="1" customHeight="1" ht="18.75" hidden="1">
      <c r="A126" s="2007" t="s">
        <v>237</v>
      </c>
      <c r="B126" s="2007" t="s">
        <v>238</v>
      </c>
      <c r="C126" s="596"/>
      <c r="D126" s="2689"/>
      <c r="E126" s="2431"/>
      <c r="F126" s="2610" t="str">
        <f>INDEX(PT_DIFFERENTIATION_VTAR,MATCH(A126,PT_DIFFERENTIATION_VTAR_ID,0))</f>
        <v>Тариф на подвоз воды</v>
      </c>
      <c r="G126" s="2654" t="str">
        <f>INDEX(PT_DIFFERENTIATION_NTAR,MATCH(B126,PT_DIFFERENTIATION_NTAR_ID,0))</f>
        <v/>
      </c>
      <c r="H126" s="2089"/>
      <c r="I126" s="1966"/>
      <c r="J126" s="2000"/>
      <c r="K126" s="2005"/>
      <c r="L126" s="2089" t="s">
        <v>308</v>
      </c>
      <c r="M126" s="568"/>
      <c r="N126" s="561"/>
      <c r="O126" s="1851"/>
      <c r="P126" s="1851"/>
      <c r="AH126" s="1858">
        <v>0</v>
      </c>
    </row>
    <row s="11160" customFormat="1" customHeight="1" ht="18.75" hidden="1">
      <c r="A127" s="2007"/>
      <c r="B127" s="2007"/>
      <c r="C127" s="596" t="s">
        <v>1147</v>
      </c>
      <c r="D127" s="2689"/>
      <c r="E127" s="2431"/>
      <c r="F127" s="2610"/>
      <c r="G127" s="2654"/>
      <c r="H127" s="1727"/>
      <c r="I127" s="878" t="s">
        <v>1146</v>
      </c>
      <c r="J127" s="798"/>
      <c r="K127" s="1727"/>
      <c r="L127" s="441"/>
      <c r="M127" s="568"/>
      <c r="N127" s="561"/>
      <c r="O127" s="1851"/>
      <c r="P127" s="1851"/>
      <c r="AH127" s="1858">
        <v>0</v>
      </c>
    </row>
    <row s="11160" customFormat="1" customHeight="1" ht="0.75" hidden="1">
      <c r="A128" s="2007"/>
      <c r="B128" s="2007"/>
      <c r="C128" s="596" t="s">
        <v>1156</v>
      </c>
      <c r="D128" s="2689"/>
      <c r="E128" s="2431"/>
      <c r="F128" s="2610"/>
      <c r="G128" s="627"/>
      <c r="H128" s="1727"/>
      <c r="I128" s="878"/>
      <c r="J128" s="798"/>
      <c r="K128" s="1727"/>
      <c r="L128" s="441"/>
      <c r="M128" s="568"/>
      <c r="N128" s="561"/>
      <c r="O128" s="1851"/>
      <c r="P128" s="1851"/>
      <c r="AH128" s="1858">
        <v>0</v>
      </c>
    </row>
    <row s="11160" customFormat="1" customHeight="1" ht="18.75" hidden="1">
      <c r="A129" s="2007" t="s">
        <v>242</v>
      </c>
      <c r="B129" s="2007" t="s">
        <v>243</v>
      </c>
      <c r="C129" s="596"/>
      <c r="D129" s="2689"/>
      <c r="E129" s="2431"/>
      <c r="F129" s="261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654" t="str">
        <f>INDEX(PT_DIFFERENTIATION_NTAR,MATCH(B129,PT_DIFFERENTIATION_NTAR_ID,0))</f>
        <v/>
      </c>
      <c r="H129" s="2089"/>
      <c r="I129" s="1966"/>
      <c r="J129" s="2000"/>
      <c r="K129" s="2005"/>
      <c r="L129" s="2089" t="s">
        <v>308</v>
      </c>
      <c r="M129" s="568"/>
      <c r="N129" s="561"/>
      <c r="O129" s="1851"/>
      <c r="P129" s="1851"/>
      <c r="AH129" s="1858">
        <v>0</v>
      </c>
    </row>
    <row s="11160" customFormat="1" customHeight="1" ht="18.75" hidden="1">
      <c r="A130" s="2007"/>
      <c r="B130" s="2007"/>
      <c r="C130" s="596" t="s">
        <v>1147</v>
      </c>
      <c r="D130" s="2689"/>
      <c r="E130" s="2431"/>
      <c r="F130" s="2610"/>
      <c r="G130" s="2654"/>
      <c r="H130" s="1727"/>
      <c r="I130" s="878" t="s">
        <v>1146</v>
      </c>
      <c r="J130" s="798"/>
      <c r="K130" s="1727"/>
      <c r="L130" s="441"/>
      <c r="M130" s="568"/>
      <c r="N130" s="561"/>
      <c r="O130" s="1851"/>
      <c r="P130" s="1851"/>
      <c r="AH130" s="1858">
        <v>0</v>
      </c>
    </row>
    <row s="11160" customFormat="1" customHeight="1" ht="0.75" hidden="1">
      <c r="A131" s="2007"/>
      <c r="B131" s="2007"/>
      <c r="C131" s="596" t="s">
        <v>1156</v>
      </c>
      <c r="D131" s="2689"/>
      <c r="E131" s="2431"/>
      <c r="F131" s="2610"/>
      <c r="G131" s="627"/>
      <c r="H131" s="1727"/>
      <c r="I131" s="878"/>
      <c r="J131" s="798"/>
      <c r="K131" s="1727"/>
      <c r="L131" s="441"/>
      <c r="M131" s="568"/>
      <c r="N131" s="561"/>
      <c r="O131" s="1851"/>
      <c r="P131" s="1851"/>
      <c r="AH131" s="1858">
        <v>0</v>
      </c>
    </row>
    <row s="11160" customFormat="1" customHeight="1" ht="18.75">
      <c r="A132" s="2007" t="s">
        <v>249</v>
      </c>
      <c r="B132" s="2007" t="s">
        <v>250</v>
      </c>
      <c r="C132" s="596"/>
      <c r="D132" s="2689"/>
      <c r="E132" s="2431"/>
      <c r="F132" s="2610" t="str">
        <f>INDEX(PT_DIFFERENTIATION_VTAR,MATCH(A132,PT_DIFFERENTIATION_VTAR_ID,0))</f>
        <v>Тариф на горячую воду (горячее водоснабжение)</v>
      </c>
      <c r="G132" s="2654" t="str">
        <f>INDEX(PT_DIFFERENTIATION_NTAR,MATCH(B132,PT_DIFFERENTIATION_NTAR_ID,0))</f>
        <v>тариф на горячую воду</v>
      </c>
      <c r="H132" s="2089"/>
      <c r="I132" s="10335">
        <v>45839</v>
      </c>
      <c r="J132" s="10336">
        <v>46203</v>
      </c>
      <c r="K132" s="2005">
        <v>614066.21867</v>
      </c>
      <c r="L132" s="2089" t="s">
        <v>308</v>
      </c>
      <c r="M132" s="568"/>
      <c r="N132" s="561"/>
      <c r="O132" s="1851"/>
      <c r="P132" s="1851"/>
      <c r="AH132" s="1858">
        <v>0</v>
      </c>
    </row>
    <row s="12345" customFormat="1" customHeight="1" ht="56.25">
      <c r="A133" s="10337"/>
      <c r="B133" s="10337"/>
      <c r="C133" s="10338"/>
      <c r="D133" s="10339"/>
      <c r="E133" s="10340"/>
      <c r="F133" s="10340"/>
      <c r="G133" s="10340"/>
      <c r="H133" s="9551" t="s">
        <v>531</v>
      </c>
      <c r="I133" s="10335">
        <v>46204</v>
      </c>
      <c r="J133" s="10336">
        <v>46568</v>
      </c>
      <c r="K133" s="10348">
        <v>632271.41641</v>
      </c>
      <c r="L133" s="9553" t="s">
        <v>308</v>
      </c>
      <c r="M133" s="10342"/>
      <c r="N133" s="10343"/>
      <c r="O133" s="10344"/>
      <c r="P133" s="10344"/>
      <c r="Q133" s="9408"/>
      <c r="R133" s="9408"/>
      <c r="S133" s="9408"/>
      <c r="T133" s="9408"/>
      <c r="U133" s="9408"/>
      <c r="V133" s="9408"/>
      <c r="W133" s="9408"/>
      <c r="X133" s="9408"/>
      <c r="Y133" s="9408"/>
      <c r="Z133" s="9408"/>
      <c r="AA133" s="9408"/>
      <c r="AB133" s="9408"/>
      <c r="AC133" s="9408"/>
      <c r="AD133" s="9408"/>
      <c r="AE133" s="9408"/>
      <c r="AF133" s="9408"/>
      <c r="AG133" s="9408"/>
      <c r="AH133" s="9408">
        <v>0</v>
      </c>
    </row>
    <row s="12345" customFormat="1" customHeight="1" ht="56.25">
      <c r="A134" s="10337"/>
      <c r="B134" s="10337"/>
      <c r="C134" s="10338"/>
      <c r="D134" s="10339"/>
      <c r="E134" s="10340"/>
      <c r="F134" s="10340"/>
      <c r="G134" s="10340"/>
      <c r="H134" s="9551" t="s">
        <v>531</v>
      </c>
      <c r="I134" s="10335">
        <v>46569</v>
      </c>
      <c r="J134" s="10336">
        <v>46934</v>
      </c>
      <c r="K134" s="10348">
        <v>655392.71925</v>
      </c>
      <c r="L134" s="9553" t="s">
        <v>308</v>
      </c>
      <c r="M134" s="10342"/>
      <c r="N134" s="10343"/>
      <c r="O134" s="10344"/>
      <c r="P134" s="10344"/>
      <c r="Q134" s="9408"/>
      <c r="R134" s="9408"/>
      <c r="S134" s="9408"/>
      <c r="T134" s="9408"/>
      <c r="U134" s="9408"/>
      <c r="V134" s="9408"/>
      <c r="W134" s="9408"/>
      <c r="X134" s="9408"/>
      <c r="Y134" s="9408"/>
      <c r="Z134" s="9408"/>
      <c r="AA134" s="9408"/>
      <c r="AB134" s="9408"/>
      <c r="AC134" s="9408"/>
      <c r="AD134" s="9408"/>
      <c r="AE134" s="9408"/>
      <c r="AF134" s="9408"/>
      <c r="AG134" s="9408"/>
      <c r="AH134" s="9408">
        <v>0</v>
      </c>
    </row>
    <row s="12345" customFormat="1" customHeight="1" ht="56.25">
      <c r="A135" s="10337"/>
      <c r="B135" s="10337"/>
      <c r="C135" s="10338"/>
      <c r="D135" s="10339"/>
      <c r="E135" s="10340"/>
      <c r="F135" s="10340"/>
      <c r="G135" s="10340"/>
      <c r="H135" s="9551" t="s">
        <v>531</v>
      </c>
      <c r="I135" s="10335">
        <v>46935</v>
      </c>
      <c r="J135" s="10336">
        <v>47118</v>
      </c>
      <c r="K135" s="10348">
        <v>672777.09527</v>
      </c>
      <c r="L135" s="9553" t="s">
        <v>308</v>
      </c>
      <c r="M135" s="10342"/>
      <c r="N135" s="10343"/>
      <c r="O135" s="10344"/>
      <c r="P135" s="10344"/>
      <c r="Q135" s="9408"/>
      <c r="R135" s="9408"/>
      <c r="S135" s="9408"/>
      <c r="T135" s="9408"/>
      <c r="U135" s="9408"/>
      <c r="V135" s="9408"/>
      <c r="W135" s="9408"/>
      <c r="X135" s="9408"/>
      <c r="Y135" s="9408"/>
      <c r="Z135" s="9408"/>
      <c r="AA135" s="9408"/>
      <c r="AB135" s="9408"/>
      <c r="AC135" s="9408"/>
      <c r="AD135" s="9408"/>
      <c r="AE135" s="9408"/>
      <c r="AF135" s="9408"/>
      <c r="AG135" s="9408"/>
      <c r="AH135" s="9408">
        <v>0</v>
      </c>
    </row>
    <row s="11160" customFormat="1" customHeight="1" ht="18.75">
      <c r="A136" s="2007"/>
      <c r="B136" s="2007"/>
      <c r="C136" s="596" t="s">
        <v>1147</v>
      </c>
      <c r="D136" s="2689"/>
      <c r="E136" s="2431"/>
      <c r="F136" s="2610"/>
      <c r="G136" s="2654"/>
      <c r="H136" s="1727"/>
      <c r="I136" s="878" t="s">
        <v>1146</v>
      </c>
      <c r="J136" s="798"/>
      <c r="K136" s="1727"/>
      <c r="L136" s="441"/>
      <c r="M136" s="568"/>
      <c r="N136" s="561"/>
      <c r="O136" s="1851"/>
      <c r="P136" s="1851"/>
      <c r="AH136" s="1858">
        <v>0</v>
      </c>
    </row>
    <row s="11160" customFormat="1" customHeight="1" ht="0.75">
      <c r="A137" s="2007"/>
      <c r="B137" s="2007"/>
      <c r="C137" s="596" t="s">
        <v>1156</v>
      </c>
      <c r="D137" s="2689"/>
      <c r="E137" s="2431"/>
      <c r="F137" s="2610"/>
      <c r="G137" s="627"/>
      <c r="H137" s="1727"/>
      <c r="I137" s="878"/>
      <c r="J137" s="798"/>
      <c r="K137" s="1727"/>
      <c r="L137" s="441"/>
      <c r="M137" s="568"/>
      <c r="N137" s="561"/>
      <c r="O137" s="1851"/>
      <c r="P137" s="1851"/>
      <c r="AH137" s="1858">
        <v>0</v>
      </c>
    </row>
    <row s="11160" customFormat="1" customHeight="1" ht="18.75" hidden="1">
      <c r="A138" s="2007" t="s">
        <v>257</v>
      </c>
      <c r="B138" s="2007" t="s">
        <v>258</v>
      </c>
      <c r="C138" s="596"/>
      <c r="D138" s="2689"/>
      <c r="E138" s="2431"/>
      <c r="F138" s="2610" t="str">
        <f>INDEX(PT_DIFFERENTIATION_VTAR,MATCH(A138,PT_DIFFERENTIATION_VTAR_ID,0))</f>
        <v>Тариф на транспортировку горячей воды</v>
      </c>
      <c r="G138" s="2654" t="str">
        <f>INDEX(PT_DIFFERENTIATION_NTAR,MATCH(B138,PT_DIFFERENTIATION_NTAR_ID,0))</f>
        <v/>
      </c>
      <c r="H138" s="2089"/>
      <c r="I138" s="1966"/>
      <c r="J138" s="2000"/>
      <c r="K138" s="2005"/>
      <c r="L138" s="2089" t="s">
        <v>308</v>
      </c>
      <c r="M138" s="568"/>
      <c r="N138" s="561"/>
      <c r="O138" s="1851"/>
      <c r="P138" s="1851"/>
      <c r="AH138" s="1858">
        <v>0</v>
      </c>
    </row>
    <row s="11160" customFormat="1" customHeight="1" ht="18.75" hidden="1">
      <c r="A139" s="2007"/>
      <c r="B139" s="2007"/>
      <c r="C139" s="596" t="s">
        <v>1147</v>
      </c>
      <c r="D139" s="2689"/>
      <c r="E139" s="2431"/>
      <c r="F139" s="2610"/>
      <c r="G139" s="2654"/>
      <c r="H139" s="1727"/>
      <c r="I139" s="878" t="s">
        <v>1146</v>
      </c>
      <c r="J139" s="798"/>
      <c r="K139" s="1727"/>
      <c r="L139" s="441"/>
      <c r="M139" s="568"/>
      <c r="N139" s="561"/>
      <c r="O139" s="1851"/>
      <c r="P139" s="1851"/>
      <c r="AH139" s="1858">
        <v>0</v>
      </c>
    </row>
    <row s="11160" customFormat="1" customHeight="1" ht="0.75" hidden="1">
      <c r="A140" s="2007"/>
      <c r="B140" s="2007"/>
      <c r="C140" s="596" t="s">
        <v>1156</v>
      </c>
      <c r="D140" s="2689"/>
      <c r="E140" s="2431"/>
      <c r="F140" s="2610"/>
      <c r="G140" s="627"/>
      <c r="H140" s="1727"/>
      <c r="I140" s="878"/>
      <c r="J140" s="798"/>
      <c r="K140" s="1727"/>
      <c r="L140" s="441"/>
      <c r="M140" s="568"/>
      <c r="N140" s="561"/>
      <c r="O140" s="1851"/>
      <c r="P140" s="1851"/>
      <c r="AH140" s="1858">
        <v>0</v>
      </c>
    </row>
    <row s="11160" customFormat="1" customHeight="1" ht="18.75" hidden="1">
      <c r="A141" s="2007" t="s">
        <v>262</v>
      </c>
      <c r="B141" s="2007" t="s">
        <v>263</v>
      </c>
      <c r="C141" s="596"/>
      <c r="D141" s="2689"/>
      <c r="E141" s="2431"/>
      <c r="F141" s="2610" t="str">
        <f>INDEX(PT_DIFFERENTIATION_VTAR,MATCH(A141,PT_DIFFERENTIATION_VTAR_ID,0))</f>
        <v>Тариф на подключение (технологическое присоединение) к централизованной системе горячего водоснабжения</v>
      </c>
      <c r="G141" s="2654" t="str">
        <f>INDEX(PT_DIFFERENTIATION_NTAR,MATCH(B141,PT_DIFFERENTIATION_NTAR_ID,0))</f>
        <v/>
      </c>
      <c r="H141" s="2089"/>
      <c r="I141" s="1966"/>
      <c r="J141" s="2000"/>
      <c r="K141" s="2005"/>
      <c r="L141" s="2089" t="s">
        <v>308</v>
      </c>
      <c r="M141" s="568"/>
      <c r="N141" s="561"/>
      <c r="O141" s="1851"/>
      <c r="P141" s="1851"/>
      <c r="AH141" s="1858">
        <v>0</v>
      </c>
    </row>
    <row s="11160" customFormat="1" customHeight="1" ht="18.75" hidden="1">
      <c r="A142" s="2007"/>
      <c r="B142" s="2007"/>
      <c r="C142" s="596" t="s">
        <v>1147</v>
      </c>
      <c r="D142" s="2689"/>
      <c r="E142" s="2431"/>
      <c r="F142" s="2610"/>
      <c r="G142" s="2654"/>
      <c r="H142" s="1727"/>
      <c r="I142" s="878" t="s">
        <v>1146</v>
      </c>
      <c r="J142" s="798"/>
      <c r="K142" s="1727"/>
      <c r="L142" s="441"/>
      <c r="M142" s="568"/>
      <c r="N142" s="561"/>
      <c r="O142" s="1851"/>
      <c r="P142" s="1851"/>
      <c r="AH142" s="1858">
        <v>0</v>
      </c>
    </row>
    <row s="11160" customFormat="1" customHeight="1" ht="0.75" hidden="1">
      <c r="A143" s="2007"/>
      <c r="B143" s="2007"/>
      <c r="C143" s="596" t="s">
        <v>1156</v>
      </c>
      <c r="D143" s="2689"/>
      <c r="E143" s="2431"/>
      <c r="F143" s="2610"/>
      <c r="G143" s="627"/>
      <c r="H143" s="1727"/>
      <c r="I143" s="878"/>
      <c r="J143" s="798"/>
      <c r="K143" s="1727"/>
      <c r="L143" s="441"/>
      <c r="M143" s="568"/>
      <c r="N143" s="561"/>
      <c r="O143" s="1851"/>
      <c r="P143" s="1851"/>
      <c r="AH143" s="1858">
        <v>0</v>
      </c>
    </row>
    <row s="11160" customFormat="1" customHeight="1" ht="18.75" hidden="1">
      <c r="A144" s="2007" t="s">
        <v>267</v>
      </c>
      <c r="B144" s="2007" t="s">
        <v>268</v>
      </c>
      <c r="C144" s="596"/>
      <c r="D144" s="2689"/>
      <c r="E144" s="2431"/>
      <c r="F144" s="2610" t="str">
        <f>INDEX(PT_DIFFERENTIATION_VTAR,MATCH(A144,PT_DIFFERENTIATION_VTAR_ID,0))</f>
        <v>Тариф на водоотведение</v>
      </c>
      <c r="G144" s="2654" t="str">
        <f>INDEX(PT_DIFFERENTIATION_NTAR,MATCH(B144,PT_DIFFERENTIATION_NTAR_ID,0))</f>
        <v/>
      </c>
      <c r="H144" s="2089"/>
      <c r="I144" s="1966"/>
      <c r="J144" s="2000"/>
      <c r="K144" s="2005"/>
      <c r="L144" s="2089" t="s">
        <v>308</v>
      </c>
      <c r="M144" s="568"/>
      <c r="N144" s="561"/>
      <c r="O144" s="1851"/>
      <c r="P144" s="1851"/>
      <c r="AH144" s="1858">
        <v>0</v>
      </c>
    </row>
    <row s="11160" customFormat="1" customHeight="1" ht="18.75" hidden="1">
      <c r="A145" s="2007"/>
      <c r="B145" s="2007"/>
      <c r="C145" s="596" t="s">
        <v>1147</v>
      </c>
      <c r="D145" s="2689"/>
      <c r="E145" s="2431"/>
      <c r="F145" s="2610"/>
      <c r="G145" s="2654"/>
      <c r="H145" s="1727"/>
      <c r="I145" s="878" t="s">
        <v>1146</v>
      </c>
      <c r="J145" s="798"/>
      <c r="K145" s="1727"/>
      <c r="L145" s="441"/>
      <c r="M145" s="568"/>
      <c r="N145" s="561"/>
      <c r="O145" s="1851"/>
      <c r="P145" s="1851"/>
      <c r="AH145" s="1858">
        <v>0</v>
      </c>
    </row>
    <row s="11160" customFormat="1" customHeight="1" ht="0.75" hidden="1">
      <c r="A146" s="2007"/>
      <c r="B146" s="2007"/>
      <c r="C146" s="596" t="s">
        <v>1156</v>
      </c>
      <c r="D146" s="2689"/>
      <c r="E146" s="2431"/>
      <c r="F146" s="2610"/>
      <c r="G146" s="627"/>
      <c r="H146" s="1727"/>
      <c r="I146" s="878"/>
      <c r="J146" s="798"/>
      <c r="K146" s="1727"/>
      <c r="L146" s="441"/>
      <c r="M146" s="568"/>
      <c r="N146" s="561"/>
      <c r="O146" s="1851"/>
      <c r="P146" s="1851"/>
      <c r="AH146" s="1858">
        <v>0</v>
      </c>
    </row>
    <row s="11160" customFormat="1" customHeight="1" ht="18.75" hidden="1">
      <c r="A147" s="2007" t="s">
        <v>272</v>
      </c>
      <c r="B147" s="2007" t="s">
        <v>273</v>
      </c>
      <c r="C147" s="596"/>
      <c r="D147" s="2689"/>
      <c r="E147" s="2431"/>
      <c r="F147" s="2610" t="str">
        <f>INDEX(PT_DIFFERENTIATION_VTAR,MATCH(A147,PT_DIFFERENTIATION_VTAR_ID,0))</f>
        <v>Тариф на транспортировку сточных вод</v>
      </c>
      <c r="G147" s="2654" t="str">
        <f>INDEX(PT_DIFFERENTIATION_NTAR,MATCH(B147,PT_DIFFERENTIATION_NTAR_ID,0))</f>
        <v/>
      </c>
      <c r="H147" s="2089"/>
      <c r="I147" s="1966"/>
      <c r="J147" s="2000"/>
      <c r="K147" s="2005"/>
      <c r="L147" s="2089" t="s">
        <v>308</v>
      </c>
      <c r="M147" s="568"/>
      <c r="N147" s="561"/>
      <c r="O147" s="1851"/>
      <c r="P147" s="1851"/>
      <c r="AH147" s="1858">
        <v>0</v>
      </c>
    </row>
    <row s="11160" customFormat="1" customHeight="1" ht="18.75" hidden="1">
      <c r="A148" s="2007"/>
      <c r="B148" s="2007"/>
      <c r="C148" s="596" t="s">
        <v>1147</v>
      </c>
      <c r="D148" s="2689"/>
      <c r="E148" s="2431"/>
      <c r="F148" s="2610"/>
      <c r="G148" s="2654"/>
      <c r="H148" s="1727"/>
      <c r="I148" s="878" t="s">
        <v>1146</v>
      </c>
      <c r="J148" s="798"/>
      <c r="K148" s="1727"/>
      <c r="L148" s="441"/>
      <c r="M148" s="568"/>
      <c r="N148" s="561"/>
      <c r="O148" s="1851"/>
      <c r="P148" s="1851"/>
      <c r="AH148" s="1858">
        <v>0</v>
      </c>
    </row>
    <row s="11160" customFormat="1" customHeight="1" ht="0.75" hidden="1">
      <c r="A149" s="2007"/>
      <c r="B149" s="2007"/>
      <c r="C149" s="596" t="s">
        <v>1156</v>
      </c>
      <c r="D149" s="2689"/>
      <c r="E149" s="2431"/>
      <c r="F149" s="2610"/>
      <c r="G149" s="627"/>
      <c r="H149" s="1727"/>
      <c r="I149" s="878"/>
      <c r="J149" s="798"/>
      <c r="K149" s="1727"/>
      <c r="L149" s="441"/>
      <c r="M149" s="568"/>
      <c r="N149" s="561"/>
      <c r="O149" s="1851"/>
      <c r="P149" s="1851"/>
      <c r="AH149" s="1858">
        <v>0</v>
      </c>
    </row>
    <row s="11160" customFormat="1" customHeight="1" ht="18.75" hidden="1">
      <c r="A150" s="2007" t="s">
        <v>277</v>
      </c>
      <c r="B150" s="2007" t="s">
        <v>278</v>
      </c>
      <c r="C150" s="596"/>
      <c r="D150" s="2689"/>
      <c r="E150" s="2431"/>
      <c r="F150" s="2610" t="str">
        <f>INDEX(PT_DIFFERENTIATION_VTAR,MATCH(A150,PT_DIFFERENTIATION_VTAR_ID,0))</f>
        <v>Тариф на подключение (технологическое присоединение) к централизованной системе водоотведения</v>
      </c>
      <c r="G150" s="2654" t="str">
        <f>INDEX(PT_DIFFERENTIATION_NTAR,MATCH(B150,PT_DIFFERENTIATION_NTAR_ID,0))</f>
        <v/>
      </c>
      <c r="H150" s="2089"/>
      <c r="I150" s="1966"/>
      <c r="J150" s="2000"/>
      <c r="K150" s="2005"/>
      <c r="L150" s="2089" t="s">
        <v>308</v>
      </c>
      <c r="M150" s="568"/>
      <c r="N150" s="561"/>
      <c r="O150" s="1851"/>
      <c r="P150" s="1851"/>
      <c r="AH150" s="1858">
        <v>0</v>
      </c>
    </row>
    <row s="11160" customFormat="1" customHeight="1" ht="18.75" hidden="1">
      <c r="A151" s="2007"/>
      <c r="B151" s="2007"/>
      <c r="C151" s="596" t="s">
        <v>1147</v>
      </c>
      <c r="D151" s="2689"/>
      <c r="E151" s="2431"/>
      <c r="F151" s="2610"/>
      <c r="G151" s="2654"/>
      <c r="H151" s="1727"/>
      <c r="I151" s="878" t="s">
        <v>1146</v>
      </c>
      <c r="J151" s="798"/>
      <c r="K151" s="1727"/>
      <c r="L151" s="441"/>
      <c r="M151" s="568"/>
      <c r="N151" s="561"/>
      <c r="O151" s="1851"/>
      <c r="P151" s="1851"/>
      <c r="AH151" s="1858">
        <v>0</v>
      </c>
    </row>
    <row s="11160" customFormat="1" customHeight="1" ht="1.05">
      <c r="A152" s="2007"/>
      <c r="B152" s="2007"/>
      <c r="C152" s="596" t="s">
        <v>1156</v>
      </c>
      <c r="D152" s="2689"/>
      <c r="E152" s="2431"/>
      <c r="F152" s="2610"/>
      <c r="G152" s="627"/>
      <c r="H152" s="1727"/>
      <c r="I152" s="878"/>
      <c r="J152" s="798"/>
      <c r="K152" s="1727"/>
      <c r="L152" s="441"/>
      <c r="M152" s="568"/>
      <c r="N152" s="561"/>
      <c r="O152" s="1851"/>
      <c r="P152" s="1851"/>
      <c r="AH152" s="1858">
        <v>1</v>
      </c>
    </row>
    <row customHeight="1" ht="19.95">
      <c r="A153" s="2007"/>
      <c r="B153" s="2007"/>
      <c r="D153" s="603"/>
      <c r="E153" s="374" t="s">
        <v>90</v>
      </c>
      <c r="F153"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3" s="2687"/>
      <c r="H153" s="2687"/>
      <c r="I153" s="2687"/>
      <c r="J153" s="2687"/>
      <c r="K153" s="2687"/>
      <c r="L153" s="2687"/>
      <c r="M153" s="524"/>
      <c r="N153" s="561"/>
      <c r="AH153" s="601">
        <v>19</v>
      </c>
    </row>
    <row s="11160" customFormat="1" customHeight="1" ht="60.75" hidden="1">
      <c r="A154" s="2007" t="s">
        <v>154</v>
      </c>
      <c r="B154" s="2007" t="s">
        <v>155</v>
      </c>
      <c r="C154" s="596"/>
      <c r="D154" s="2689"/>
      <c r="E154" s="2431"/>
      <c r="F154" s="2610"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654" t="str">
        <f>INDEX(PT_DIFFERENTIATION_NTAR,MATCH(B154,PT_DIFFERENTIATION_NTAR_ID,0))</f>
        <v/>
      </c>
      <c r="H154" s="2089"/>
      <c r="I154" s="1966"/>
      <c r="J154" s="2000"/>
      <c r="K154" s="2005"/>
      <c r="L154" s="2089" t="s">
        <v>308</v>
      </c>
      <c r="M15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561"/>
      <c r="O154" s="1851"/>
      <c r="P154" s="1851"/>
      <c r="AH154" s="1858">
        <v>0</v>
      </c>
    </row>
    <row s="11160" customFormat="1" customHeight="1" ht="18.75" hidden="1">
      <c r="A155" s="2007"/>
      <c r="B155" s="2007"/>
      <c r="C155" s="596" t="s">
        <v>1147</v>
      </c>
      <c r="D155" s="2689"/>
      <c r="E155" s="2431"/>
      <c r="F155" s="2610"/>
      <c r="G155" s="2654"/>
      <c r="H155" s="1727"/>
      <c r="I155" s="878" t="s">
        <v>1146</v>
      </c>
      <c r="J155" s="798"/>
      <c r="K155" s="1727"/>
      <c r="L155" s="441"/>
      <c r="M155" s="2397"/>
      <c r="N155" s="561"/>
      <c r="O155" s="1851"/>
      <c r="P155" s="1851"/>
      <c r="AH155" s="1858">
        <v>0</v>
      </c>
    </row>
    <row s="11160" customFormat="1" customHeight="1" ht="0.75" hidden="1">
      <c r="A156" s="2007"/>
      <c r="B156" s="2007"/>
      <c r="C156" s="596" t="s">
        <v>1156</v>
      </c>
      <c r="D156" s="2689"/>
      <c r="E156" s="2431"/>
      <c r="F156" s="2610"/>
      <c r="G156" s="627"/>
      <c r="H156" s="1727"/>
      <c r="I156" s="878"/>
      <c r="J156" s="798"/>
      <c r="K156" s="1727"/>
      <c r="L156" s="441"/>
      <c r="M156" s="2397"/>
      <c r="N156" s="561"/>
      <c r="O156" s="1851"/>
      <c r="P156" s="1851"/>
      <c r="AH156" s="1858">
        <v>0</v>
      </c>
    </row>
    <row s="11160" customFormat="1" customHeight="1" ht="45" hidden="1">
      <c r="A157" s="2007" t="s">
        <v>159</v>
      </c>
      <c r="B157" s="2007" t="s">
        <v>160</v>
      </c>
      <c r="C157" s="596"/>
      <c r="D157" s="2689"/>
      <c r="E157" s="2431"/>
      <c r="F157" s="2610" t="str">
        <f>INDEX(PT_DIFFERENTIATION_VTAR,MATCH(A157,PT_DIFFERENTIATION_VTAR_ID,0))</f>
        <v/>
      </c>
      <c r="G157" s="2654" t="str">
        <f>INDEX(PT_DIFFERENTIATION_NTAR,MATCH(B157,PT_DIFFERENTIATION_NTAR_ID,0))</f>
        <v/>
      </c>
      <c r="H157" s="2089"/>
      <c r="I157" s="1966"/>
      <c r="J157" s="2000"/>
      <c r="K157" s="2005"/>
      <c r="L157" s="2089" t="s">
        <v>308</v>
      </c>
      <c r="M157" s="2398"/>
      <c r="N157" s="561"/>
      <c r="O157" s="1851"/>
      <c r="P157" s="1851"/>
      <c r="AH157" s="1858">
        <v>0</v>
      </c>
    </row>
    <row s="11160" customFormat="1" customHeight="1" ht="18.75" hidden="1">
      <c r="A158" s="2007"/>
      <c r="B158" s="2007"/>
      <c r="C158" s="596" t="s">
        <v>1147</v>
      </c>
      <c r="D158" s="2689"/>
      <c r="E158" s="2431"/>
      <c r="F158" s="2610"/>
      <c r="G158" s="2654"/>
      <c r="H158" s="1727"/>
      <c r="I158" s="878" t="s">
        <v>1146</v>
      </c>
      <c r="J158" s="798"/>
      <c r="K158" s="1727"/>
      <c r="L158" s="441"/>
      <c r="M158" s="2088"/>
      <c r="N158" s="561"/>
      <c r="O158" s="1851"/>
      <c r="P158" s="1851"/>
      <c r="AH158" s="1858">
        <v>0</v>
      </c>
    </row>
    <row s="11160" customFormat="1" customHeight="1" ht="0.75" hidden="1">
      <c r="A159" s="2007"/>
      <c r="B159" s="2007"/>
      <c r="C159" s="596" t="s">
        <v>1156</v>
      </c>
      <c r="D159" s="2689"/>
      <c r="E159" s="2431"/>
      <c r="F159" s="2610"/>
      <c r="G159" s="627"/>
      <c r="H159" s="1727"/>
      <c r="I159" s="878"/>
      <c r="J159" s="798"/>
      <c r="K159" s="1727"/>
      <c r="L159" s="441"/>
      <c r="M159" s="568"/>
      <c r="N159" s="561"/>
      <c r="O159" s="1851"/>
      <c r="P159" s="1851"/>
      <c r="AH159" s="1858">
        <v>0</v>
      </c>
    </row>
    <row s="11160" customFormat="1" customHeight="1" ht="45" hidden="1">
      <c r="A160" s="2007" t="s">
        <v>166</v>
      </c>
      <c r="B160" s="2007" t="s">
        <v>167</v>
      </c>
      <c r="C160" s="596"/>
      <c r="D160" s="2689"/>
      <c r="E160" s="2431"/>
      <c r="F160" s="261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654" t="str">
        <f>INDEX(PT_DIFFERENTIATION_NTAR,MATCH(B160,PT_DIFFERENTIATION_NTAR_ID,0))</f>
        <v/>
      </c>
      <c r="H160" s="2089"/>
      <c r="I160" s="1966"/>
      <c r="J160" s="2000"/>
      <c r="K160" s="2005"/>
      <c r="L160" s="2089" t="s">
        <v>308</v>
      </c>
      <c r="M160" s="568"/>
      <c r="N160" s="561"/>
      <c r="O160" s="1851"/>
      <c r="P160" s="1851"/>
      <c r="AH160" s="1858">
        <v>0</v>
      </c>
    </row>
    <row s="11160" customFormat="1" customHeight="1" ht="18.75" hidden="1">
      <c r="A161" s="2007"/>
      <c r="B161" s="2007"/>
      <c r="C161" s="596" t="s">
        <v>1147</v>
      </c>
      <c r="D161" s="2689"/>
      <c r="E161" s="2431"/>
      <c r="F161" s="2610"/>
      <c r="G161" s="2654"/>
      <c r="H161" s="1727"/>
      <c r="I161" s="878" t="s">
        <v>1146</v>
      </c>
      <c r="J161" s="798"/>
      <c r="K161" s="1727"/>
      <c r="L161" s="441"/>
      <c r="M161" s="568"/>
      <c r="N161" s="561"/>
      <c r="O161" s="1851"/>
      <c r="P161" s="1851"/>
      <c r="AH161" s="1858">
        <v>0</v>
      </c>
    </row>
    <row s="11160" customFormat="1" customHeight="1" ht="0.75" hidden="1">
      <c r="A162" s="2007"/>
      <c r="B162" s="2007"/>
      <c r="C162" s="596" t="s">
        <v>1156</v>
      </c>
      <c r="D162" s="2689"/>
      <c r="E162" s="2431"/>
      <c r="F162" s="2610"/>
      <c r="G162" s="627"/>
      <c r="H162" s="1727"/>
      <c r="I162" s="878"/>
      <c r="J162" s="798"/>
      <c r="K162" s="1727"/>
      <c r="L162" s="441"/>
      <c r="M162" s="568"/>
      <c r="N162" s="561"/>
      <c r="O162" s="1851"/>
      <c r="P162" s="1851"/>
      <c r="AH162" s="1858">
        <v>0</v>
      </c>
    </row>
    <row s="11160" customFormat="1" customHeight="1" ht="45" hidden="1">
      <c r="A163" s="2007" t="s">
        <v>172</v>
      </c>
      <c r="B163" s="2007" t="s">
        <v>173</v>
      </c>
      <c r="C163" s="596"/>
      <c r="D163" s="2689"/>
      <c r="E163" s="2431"/>
      <c r="F163" s="261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654" t="str">
        <f>INDEX(PT_DIFFERENTIATION_NTAR,MATCH(B163,PT_DIFFERENTIATION_NTAR_ID,0))</f>
        <v/>
      </c>
      <c r="H163" s="2089"/>
      <c r="I163" s="1966"/>
      <c r="J163" s="2000"/>
      <c r="K163" s="2005"/>
      <c r="L163" s="2089" t="s">
        <v>308</v>
      </c>
      <c r="M163" s="568"/>
      <c r="N163" s="561"/>
      <c r="O163" s="1851"/>
      <c r="P163" s="1851"/>
      <c r="AH163" s="1858">
        <v>0</v>
      </c>
    </row>
    <row s="11160" customFormat="1" customHeight="1" ht="18.75" hidden="1">
      <c r="A164" s="2007"/>
      <c r="B164" s="2007"/>
      <c r="C164" s="596" t="s">
        <v>1147</v>
      </c>
      <c r="D164" s="2689"/>
      <c r="E164" s="2431"/>
      <c r="F164" s="2610"/>
      <c r="G164" s="2654"/>
      <c r="H164" s="1727"/>
      <c r="I164" s="878" t="s">
        <v>1146</v>
      </c>
      <c r="J164" s="798"/>
      <c r="K164" s="1727"/>
      <c r="L164" s="441"/>
      <c r="M164" s="568"/>
      <c r="N164" s="561"/>
      <c r="O164" s="1851"/>
      <c r="P164" s="1851"/>
      <c r="AH164" s="1858">
        <v>0</v>
      </c>
    </row>
    <row s="11160" customFormat="1" customHeight="1" ht="0.75" hidden="1">
      <c r="A165" s="2007"/>
      <c r="B165" s="2007"/>
      <c r="C165" s="596" t="s">
        <v>1156</v>
      </c>
      <c r="D165" s="2689"/>
      <c r="E165" s="2431"/>
      <c r="F165" s="2610"/>
      <c r="G165" s="627"/>
      <c r="H165" s="1727"/>
      <c r="I165" s="878"/>
      <c r="J165" s="798"/>
      <c r="K165" s="1727"/>
      <c r="L165" s="441"/>
      <c r="M165" s="568"/>
      <c r="N165" s="561"/>
      <c r="O165" s="1851"/>
      <c r="P165" s="1851"/>
      <c r="AH165" s="1858">
        <v>0</v>
      </c>
    </row>
    <row s="11160" customFormat="1" customHeight="1" ht="18.75" hidden="1">
      <c r="A166" s="2007" t="s">
        <v>178</v>
      </c>
      <c r="B166" s="2007" t="s">
        <v>179</v>
      </c>
      <c r="C166" s="596"/>
      <c r="D166" s="2689"/>
      <c r="E166" s="2431"/>
      <c r="F166" s="2610" t="str">
        <f>INDEX(PT_DIFFERENTIATION_VTAR,MATCH(A166,PT_DIFFERENTIATION_VTAR_ID,0))</f>
        <v>Тарифы на услуги по передаче тепловой энергии</v>
      </c>
      <c r="G166" s="2654" t="str">
        <f>INDEX(PT_DIFFERENTIATION_NTAR,MATCH(B166,PT_DIFFERENTIATION_NTAR_ID,0))</f>
        <v/>
      </c>
      <c r="H166" s="2089"/>
      <c r="I166" s="1966"/>
      <c r="J166" s="2000"/>
      <c r="K166" s="2005"/>
      <c r="L166" s="2089" t="s">
        <v>308</v>
      </c>
      <c r="M166" s="568"/>
      <c r="N166" s="561"/>
      <c r="O166" s="1851"/>
      <c r="P166" s="1851"/>
      <c r="AH166" s="1858">
        <v>0</v>
      </c>
    </row>
    <row s="11160" customFormat="1" customHeight="1" ht="18.75" hidden="1">
      <c r="A167" s="2007"/>
      <c r="B167" s="2007"/>
      <c r="C167" s="596" t="s">
        <v>1147</v>
      </c>
      <c r="D167" s="2689"/>
      <c r="E167" s="2431"/>
      <c r="F167" s="2610"/>
      <c r="G167" s="2654"/>
      <c r="H167" s="1727"/>
      <c r="I167" s="878" t="s">
        <v>1146</v>
      </c>
      <c r="J167" s="798"/>
      <c r="K167" s="1727"/>
      <c r="L167" s="441"/>
      <c r="M167" s="568"/>
      <c r="N167" s="561"/>
      <c r="O167" s="1851"/>
      <c r="P167" s="1851"/>
      <c r="AH167" s="1858">
        <v>0</v>
      </c>
    </row>
    <row s="11160" customFormat="1" customHeight="1" ht="0.75" hidden="1">
      <c r="A168" s="2007"/>
      <c r="B168" s="2007"/>
      <c r="C168" s="596" t="s">
        <v>1156</v>
      </c>
      <c r="D168" s="2689"/>
      <c r="E168" s="2431"/>
      <c r="F168" s="2610"/>
      <c r="G168" s="627"/>
      <c r="H168" s="1727"/>
      <c r="I168" s="878"/>
      <c r="J168" s="798"/>
      <c r="K168" s="1727"/>
      <c r="L168" s="441"/>
      <c r="M168" s="568"/>
      <c r="N168" s="561"/>
      <c r="O168" s="1851"/>
      <c r="P168" s="1851"/>
      <c r="AH168" s="1858">
        <v>0</v>
      </c>
    </row>
    <row s="11160" customFormat="1" customHeight="1" ht="18.75" hidden="1">
      <c r="A169" s="2007" t="s">
        <v>184</v>
      </c>
      <c r="B169" s="2007" t="s">
        <v>185</v>
      </c>
      <c r="C169" s="596"/>
      <c r="D169" s="2689"/>
      <c r="E169" s="2431"/>
      <c r="F169" s="2610" t="str">
        <f>INDEX(PT_DIFFERENTIATION_VTAR,MATCH(A169,PT_DIFFERENTIATION_VTAR_ID,0))</f>
        <v>Тарифы на услуги по передаче теплоносителя</v>
      </c>
      <c r="G169" s="2654" t="str">
        <f>INDEX(PT_DIFFERENTIATION_NTAR,MATCH(B169,PT_DIFFERENTIATION_NTAR_ID,0))</f>
        <v/>
      </c>
      <c r="H169" s="2089"/>
      <c r="I169" s="1966"/>
      <c r="J169" s="2000"/>
      <c r="K169" s="2005"/>
      <c r="L169" s="2089" t="s">
        <v>308</v>
      </c>
      <c r="M169" s="568"/>
      <c r="N169" s="561"/>
      <c r="O169" s="1851"/>
      <c r="P169" s="1851"/>
      <c r="AH169" s="1858">
        <v>0</v>
      </c>
    </row>
    <row s="11160" customFormat="1" customHeight="1" ht="18.75" hidden="1">
      <c r="A170" s="2007"/>
      <c r="B170" s="2007"/>
      <c r="C170" s="596" t="s">
        <v>1147</v>
      </c>
      <c r="D170" s="2689"/>
      <c r="E170" s="2431"/>
      <c r="F170" s="2610"/>
      <c r="G170" s="2654"/>
      <c r="H170" s="1727"/>
      <c r="I170" s="878" t="s">
        <v>1146</v>
      </c>
      <c r="J170" s="798"/>
      <c r="K170" s="1727"/>
      <c r="L170" s="441"/>
      <c r="M170" s="568"/>
      <c r="N170" s="561"/>
      <c r="O170" s="1851"/>
      <c r="P170" s="1851"/>
      <c r="AH170" s="1858">
        <v>0</v>
      </c>
    </row>
    <row s="11160" customFormat="1" customHeight="1" ht="0.75" hidden="1">
      <c r="A171" s="2007"/>
      <c r="B171" s="2007"/>
      <c r="C171" s="596" t="s">
        <v>1156</v>
      </c>
      <c r="D171" s="2689"/>
      <c r="E171" s="2431"/>
      <c r="F171" s="2610"/>
      <c r="G171" s="627"/>
      <c r="H171" s="1727"/>
      <c r="I171" s="878"/>
      <c r="J171" s="798"/>
      <c r="K171" s="1727"/>
      <c r="L171" s="441"/>
      <c r="M171" s="568"/>
      <c r="N171" s="561"/>
      <c r="O171" s="1851"/>
      <c r="P171" s="1851"/>
      <c r="AH171" s="1858">
        <v>0</v>
      </c>
    </row>
    <row s="11160" customFormat="1" customHeight="1" ht="18.75" hidden="1">
      <c r="A172" s="2007" t="s">
        <v>190</v>
      </c>
      <c r="B172" s="2007" t="s">
        <v>191</v>
      </c>
      <c r="C172" s="596"/>
      <c r="D172" s="2689"/>
      <c r="E172" s="2431"/>
      <c r="F172" s="261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654" t="str">
        <f>INDEX(PT_DIFFERENTIATION_NTAR,MATCH(B172,PT_DIFFERENTIATION_NTAR_ID,0))</f>
        <v/>
      </c>
      <c r="H172" s="2089"/>
      <c r="I172" s="1966"/>
      <c r="J172" s="2000"/>
      <c r="K172" s="2005"/>
      <c r="L172" s="2089" t="s">
        <v>308</v>
      </c>
      <c r="M172" s="568"/>
      <c r="N172" s="561"/>
      <c r="O172" s="1851"/>
      <c r="P172" s="1851"/>
      <c r="AH172" s="1858">
        <v>0</v>
      </c>
    </row>
    <row s="11160" customFormat="1" customHeight="1" ht="18.75" hidden="1">
      <c r="A173" s="2007"/>
      <c r="B173" s="2007"/>
      <c r="C173" s="596" t="s">
        <v>1147</v>
      </c>
      <c r="D173" s="2689"/>
      <c r="E173" s="2431"/>
      <c r="F173" s="2610"/>
      <c r="G173" s="2654"/>
      <c r="H173" s="1727"/>
      <c r="I173" s="878" t="s">
        <v>1146</v>
      </c>
      <c r="J173" s="798"/>
      <c r="K173" s="1727"/>
      <c r="L173" s="441"/>
      <c r="M173" s="568"/>
      <c r="N173" s="561"/>
      <c r="O173" s="1851"/>
      <c r="P173" s="1851"/>
      <c r="AH173" s="1858">
        <v>0</v>
      </c>
    </row>
    <row s="11160" customFormat="1" customHeight="1" ht="0.75" hidden="1">
      <c r="A174" s="2007"/>
      <c r="B174" s="2007"/>
      <c r="C174" s="596" t="s">
        <v>1156</v>
      </c>
      <c r="D174" s="2689"/>
      <c r="E174" s="2431"/>
      <c r="F174" s="2610"/>
      <c r="G174" s="627"/>
      <c r="H174" s="1727"/>
      <c r="I174" s="878"/>
      <c r="J174" s="798"/>
      <c r="K174" s="1727"/>
      <c r="L174" s="441"/>
      <c r="M174" s="568"/>
      <c r="N174" s="561"/>
      <c r="O174" s="1851"/>
      <c r="P174" s="1851"/>
      <c r="AH174" s="1858">
        <v>0</v>
      </c>
    </row>
    <row s="11160" customFormat="1" customHeight="1" ht="18.75" hidden="1">
      <c r="A175" s="2007" t="s">
        <v>196</v>
      </c>
      <c r="B175" s="2007" t="s">
        <v>197</v>
      </c>
      <c r="C175" s="596"/>
      <c r="D175" s="2689"/>
      <c r="E175" s="2431"/>
      <c r="F175" s="2610" t="str">
        <f>INDEX(PT_DIFFERENTIATION_VTAR,MATCH(A175,PT_DIFFERENTIATION_VTAR_ID,0))</f>
        <v>Плата за подключение (технологическое присоединение) к системе теплоснабжения</v>
      </c>
      <c r="G175" s="2654" t="str">
        <f>INDEX(PT_DIFFERENTIATION_NTAR,MATCH(B175,PT_DIFFERENTIATION_NTAR_ID,0))</f>
        <v/>
      </c>
      <c r="H175" s="2089"/>
      <c r="I175" s="1966"/>
      <c r="J175" s="2000"/>
      <c r="K175" s="2005"/>
      <c r="L175" s="2089" t="s">
        <v>308</v>
      </c>
      <c r="M175" s="568"/>
      <c r="N175" s="561"/>
      <c r="O175" s="1851"/>
      <c r="P175" s="1851"/>
      <c r="AH175" s="1858">
        <v>0</v>
      </c>
    </row>
    <row s="11160" customFormat="1" customHeight="1" ht="18.75" hidden="1">
      <c r="A176" s="2007"/>
      <c r="B176" s="2007"/>
      <c r="C176" s="596" t="s">
        <v>1147</v>
      </c>
      <c r="D176" s="2689"/>
      <c r="E176" s="2431"/>
      <c r="F176" s="2610"/>
      <c r="G176" s="2654"/>
      <c r="H176" s="1727"/>
      <c r="I176" s="878" t="s">
        <v>1146</v>
      </c>
      <c r="J176" s="798"/>
      <c r="K176" s="1727"/>
      <c r="L176" s="441"/>
      <c r="M176" s="568"/>
      <c r="N176" s="561"/>
      <c r="O176" s="1851"/>
      <c r="P176" s="1851"/>
      <c r="AH176" s="1858">
        <v>0</v>
      </c>
    </row>
    <row s="11160" customFormat="1" customHeight="1" ht="0.75" hidden="1">
      <c r="A177" s="2007"/>
      <c r="B177" s="2007"/>
      <c r="C177" s="596" t="s">
        <v>1156</v>
      </c>
      <c r="D177" s="2689"/>
      <c r="E177" s="2431"/>
      <c r="F177" s="2610"/>
      <c r="G177" s="627"/>
      <c r="H177" s="1727"/>
      <c r="I177" s="878"/>
      <c r="J177" s="798"/>
      <c r="K177" s="1727"/>
      <c r="L177" s="441"/>
      <c r="M177" s="568"/>
      <c r="N177" s="561"/>
      <c r="O177" s="1851"/>
      <c r="P177" s="1851"/>
      <c r="AH177" s="1858">
        <v>0</v>
      </c>
    </row>
    <row s="11160" customFormat="1" customHeight="1" ht="18.75" hidden="1">
      <c r="A178" s="2007" t="s">
        <v>202</v>
      </c>
      <c r="B178" s="2007" t="s">
        <v>203</v>
      </c>
      <c r="C178" s="596"/>
      <c r="D178" s="2689"/>
      <c r="E178" s="2431"/>
      <c r="F178" s="2610" t="str">
        <f>INDEX(PT_DIFFERENTIATION_VTAR,MATCH(A178,PT_DIFFERENTIATION_VTAR_ID,0))</f>
        <v>Плата за подключение (технологическое присоединение) к системе теплоснабжения (индивидуальная)</v>
      </c>
      <c r="G178" s="2654" t="str">
        <f>INDEX(PT_DIFFERENTIATION_NTAR,MATCH(B178,PT_DIFFERENTIATION_NTAR_ID,0))</f>
        <v/>
      </c>
      <c r="H178" s="2216"/>
      <c r="I178" s="1966"/>
      <c r="J178" s="2000"/>
      <c r="K178" s="2005"/>
      <c r="L178" s="2216" t="s">
        <v>308</v>
      </c>
      <c r="M178" s="568"/>
      <c r="N178" s="561"/>
      <c r="O178" s="1851"/>
      <c r="P178" s="1851"/>
      <c r="AH178" s="1858">
        <v>0</v>
      </c>
    </row>
    <row s="11160" customFormat="1" customHeight="1" ht="18.75" hidden="1">
      <c r="A179" s="2007"/>
      <c r="B179" s="2007"/>
      <c r="C179" s="596" t="s">
        <v>1147</v>
      </c>
      <c r="D179" s="2689"/>
      <c r="E179" s="2431"/>
      <c r="F179" s="2610"/>
      <c r="G179" s="2654"/>
      <c r="H179" s="1727"/>
      <c r="I179" s="878" t="s">
        <v>1146</v>
      </c>
      <c r="J179" s="798"/>
      <c r="K179" s="1727"/>
      <c r="L179" s="441"/>
      <c r="M179" s="568"/>
      <c r="N179" s="561"/>
      <c r="O179" s="1851"/>
      <c r="P179" s="1851"/>
      <c r="AH179" s="1858">
        <v>0</v>
      </c>
    </row>
    <row s="11160" customFormat="1" customHeight="1" ht="0.75" hidden="1">
      <c r="A180" s="2007"/>
      <c r="B180" s="2007"/>
      <c r="C180" s="596" t="s">
        <v>1156</v>
      </c>
      <c r="D180" s="2689"/>
      <c r="E180" s="2431"/>
      <c r="F180" s="2610"/>
      <c r="G180" s="627"/>
      <c r="H180" s="1727"/>
      <c r="I180" s="878"/>
      <c r="J180" s="798"/>
      <c r="K180" s="1727"/>
      <c r="L180" s="441"/>
      <c r="M180" s="568"/>
      <c r="N180" s="561"/>
      <c r="O180" s="1851"/>
      <c r="P180" s="1851"/>
      <c r="AH180" s="1858">
        <v>0</v>
      </c>
    </row>
    <row s="11160" customFormat="1" customHeight="1" ht="18.75" hidden="1">
      <c r="A181" s="2007" t="s">
        <v>222</v>
      </c>
      <c r="B181" s="2007" t="s">
        <v>223</v>
      </c>
      <c r="C181" s="596"/>
      <c r="D181" s="2689"/>
      <c r="E181" s="2431"/>
      <c r="F181" s="2610" t="str">
        <f>INDEX(PT_DIFFERENTIATION_VTAR,MATCH(A181,PT_DIFFERENTIATION_VTAR_ID,0))</f>
        <v>Тариф на питьевую воду (питьевое водоснабжение)</v>
      </c>
      <c r="G181" s="2654" t="str">
        <f>INDEX(PT_DIFFERENTIATION_NTAR,MATCH(B181,PT_DIFFERENTIATION_NTAR_ID,0))</f>
        <v/>
      </c>
      <c r="H181" s="2089"/>
      <c r="I181" s="1966"/>
      <c r="J181" s="2000"/>
      <c r="K181" s="2005"/>
      <c r="L181" s="2089" t="s">
        <v>308</v>
      </c>
      <c r="M181" s="568"/>
      <c r="N181" s="561"/>
      <c r="O181" s="1851"/>
      <c r="P181" s="1851"/>
      <c r="AH181" s="1858">
        <v>0</v>
      </c>
    </row>
    <row s="11160" customFormat="1" customHeight="1" ht="18.75" hidden="1">
      <c r="A182" s="2007"/>
      <c r="B182" s="2007"/>
      <c r="C182" s="596" t="s">
        <v>1147</v>
      </c>
      <c r="D182" s="2689"/>
      <c r="E182" s="2431"/>
      <c r="F182" s="2610"/>
      <c r="G182" s="2654"/>
      <c r="H182" s="1727"/>
      <c r="I182" s="878" t="s">
        <v>1146</v>
      </c>
      <c r="J182" s="798"/>
      <c r="K182" s="1727"/>
      <c r="L182" s="441"/>
      <c r="M182" s="568"/>
      <c r="N182" s="561"/>
      <c r="O182" s="1851"/>
      <c r="P182" s="1851"/>
      <c r="AH182" s="1858">
        <v>0</v>
      </c>
    </row>
    <row s="11160" customFormat="1" customHeight="1" ht="0.75" hidden="1">
      <c r="A183" s="2007"/>
      <c r="B183" s="2007"/>
      <c r="C183" s="596" t="s">
        <v>1156</v>
      </c>
      <c r="D183" s="2689"/>
      <c r="E183" s="2431"/>
      <c r="F183" s="2610"/>
      <c r="G183" s="627"/>
      <c r="H183" s="1727"/>
      <c r="I183" s="878"/>
      <c r="J183" s="798"/>
      <c r="K183" s="1727"/>
      <c r="L183" s="441"/>
      <c r="M183" s="568"/>
      <c r="N183" s="561"/>
      <c r="O183" s="1851"/>
      <c r="P183" s="1851"/>
      <c r="AH183" s="1858">
        <v>0</v>
      </c>
    </row>
    <row s="11160" customFormat="1" customHeight="1" ht="18.75" hidden="1">
      <c r="A184" s="2007" t="s">
        <v>227</v>
      </c>
      <c r="B184" s="2007" t="s">
        <v>228</v>
      </c>
      <c r="C184" s="596"/>
      <c r="D184" s="2689"/>
      <c r="E184" s="2431"/>
      <c r="F184" s="2610" t="str">
        <f>INDEX(PT_DIFFERENTIATION_VTAR,MATCH(A184,PT_DIFFERENTIATION_VTAR_ID,0))</f>
        <v>Тариф на техническую воду</v>
      </c>
      <c r="G184" s="2654" t="str">
        <f>INDEX(PT_DIFFERENTIATION_NTAR,MATCH(B184,PT_DIFFERENTIATION_NTAR_ID,0))</f>
        <v/>
      </c>
      <c r="H184" s="2089"/>
      <c r="I184" s="1966"/>
      <c r="J184" s="2000"/>
      <c r="K184" s="2005"/>
      <c r="L184" s="2089" t="s">
        <v>308</v>
      </c>
      <c r="M184" s="568"/>
      <c r="N184" s="561"/>
      <c r="O184" s="1851"/>
      <c r="P184" s="1851"/>
      <c r="AH184" s="1858">
        <v>0</v>
      </c>
    </row>
    <row s="11160" customFormat="1" customHeight="1" ht="18.75" hidden="1">
      <c r="A185" s="2007"/>
      <c r="B185" s="2007"/>
      <c r="C185" s="596" t="s">
        <v>1147</v>
      </c>
      <c r="D185" s="2689"/>
      <c r="E185" s="2431"/>
      <c r="F185" s="2610"/>
      <c r="G185" s="2654"/>
      <c r="H185" s="1727"/>
      <c r="I185" s="878" t="s">
        <v>1146</v>
      </c>
      <c r="J185" s="798"/>
      <c r="K185" s="1727"/>
      <c r="L185" s="441"/>
      <c r="M185" s="568"/>
      <c r="N185" s="561"/>
      <c r="O185" s="1851"/>
      <c r="P185" s="1851"/>
      <c r="AH185" s="1858">
        <v>0</v>
      </c>
    </row>
    <row s="11160" customFormat="1" customHeight="1" ht="0.75" hidden="1">
      <c r="A186" s="2007"/>
      <c r="B186" s="2007"/>
      <c r="C186" s="596" t="s">
        <v>1156</v>
      </c>
      <c r="D186" s="2689"/>
      <c r="E186" s="2431"/>
      <c r="F186" s="2610"/>
      <c r="G186" s="627"/>
      <c r="H186" s="1727"/>
      <c r="I186" s="878"/>
      <c r="J186" s="798"/>
      <c r="K186" s="1727"/>
      <c r="L186" s="441"/>
      <c r="M186" s="568"/>
      <c r="N186" s="561"/>
      <c r="O186" s="1851"/>
      <c r="P186" s="1851"/>
      <c r="AH186" s="1858">
        <v>0</v>
      </c>
    </row>
    <row s="11160" customFormat="1" customHeight="1" ht="18.75" hidden="1">
      <c r="A187" s="2007" t="s">
        <v>232</v>
      </c>
      <c r="B187" s="2007" t="s">
        <v>233</v>
      </c>
      <c r="C187" s="596"/>
      <c r="D187" s="2689"/>
      <c r="E187" s="2431"/>
      <c r="F187" s="2610" t="str">
        <f>INDEX(PT_DIFFERENTIATION_VTAR,MATCH(A187,PT_DIFFERENTIATION_VTAR_ID,0))</f>
        <v>Тариф на транспортировку воды</v>
      </c>
      <c r="G187" s="2654" t="str">
        <f>INDEX(PT_DIFFERENTIATION_NTAR,MATCH(B187,PT_DIFFERENTIATION_NTAR_ID,0))</f>
        <v/>
      </c>
      <c r="H187" s="2089"/>
      <c r="I187" s="1966"/>
      <c r="J187" s="2000"/>
      <c r="K187" s="2005"/>
      <c r="L187" s="2089" t="s">
        <v>308</v>
      </c>
      <c r="M187" s="568"/>
      <c r="N187" s="561"/>
      <c r="O187" s="1851"/>
      <c r="P187" s="1851"/>
      <c r="AH187" s="1858">
        <v>0</v>
      </c>
    </row>
    <row s="11160" customFormat="1" customHeight="1" ht="18.75" hidden="1">
      <c r="A188" s="2007"/>
      <c r="B188" s="2007"/>
      <c r="C188" s="596" t="s">
        <v>1147</v>
      </c>
      <c r="D188" s="2689"/>
      <c r="E188" s="2431"/>
      <c r="F188" s="2610"/>
      <c r="G188" s="2654"/>
      <c r="H188" s="1727"/>
      <c r="I188" s="878" t="s">
        <v>1146</v>
      </c>
      <c r="J188" s="798"/>
      <c r="K188" s="1727"/>
      <c r="L188" s="441"/>
      <c r="M188" s="568"/>
      <c r="N188" s="561"/>
      <c r="O188" s="1851"/>
      <c r="P188" s="1851"/>
      <c r="AH188" s="1858">
        <v>0</v>
      </c>
    </row>
    <row s="11160" customFormat="1" customHeight="1" ht="0.75" hidden="1">
      <c r="A189" s="2007"/>
      <c r="B189" s="2007"/>
      <c r="C189" s="596" t="s">
        <v>1156</v>
      </c>
      <c r="D189" s="2689"/>
      <c r="E189" s="2431"/>
      <c r="F189" s="2610"/>
      <c r="G189" s="627"/>
      <c r="H189" s="1727"/>
      <c r="I189" s="878"/>
      <c r="J189" s="798"/>
      <c r="K189" s="1727"/>
      <c r="L189" s="441"/>
      <c r="M189" s="568"/>
      <c r="N189" s="561"/>
      <c r="O189" s="1851"/>
      <c r="P189" s="1851"/>
      <c r="AH189" s="1858">
        <v>0</v>
      </c>
    </row>
    <row s="11160" customFormat="1" customHeight="1" ht="18.75" hidden="1">
      <c r="A190" s="2007" t="s">
        <v>237</v>
      </c>
      <c r="B190" s="2007" t="s">
        <v>238</v>
      </c>
      <c r="C190" s="596"/>
      <c r="D190" s="2689"/>
      <c r="E190" s="2431"/>
      <c r="F190" s="2610" t="str">
        <f>INDEX(PT_DIFFERENTIATION_VTAR,MATCH(A190,PT_DIFFERENTIATION_VTAR_ID,0))</f>
        <v>Тариф на подвоз воды</v>
      </c>
      <c r="G190" s="2654" t="str">
        <f>INDEX(PT_DIFFERENTIATION_NTAR,MATCH(B190,PT_DIFFERENTIATION_NTAR_ID,0))</f>
        <v/>
      </c>
      <c r="H190" s="2089"/>
      <c r="I190" s="1966"/>
      <c r="J190" s="2000"/>
      <c r="K190" s="2005"/>
      <c r="L190" s="2089" t="s">
        <v>308</v>
      </c>
      <c r="M190" s="568"/>
      <c r="N190" s="561"/>
      <c r="O190" s="1851"/>
      <c r="P190" s="1851"/>
      <c r="AH190" s="1858">
        <v>0</v>
      </c>
    </row>
    <row s="11160" customFormat="1" customHeight="1" ht="18.75" hidden="1">
      <c r="A191" s="2007"/>
      <c r="B191" s="2007"/>
      <c r="C191" s="596" t="s">
        <v>1147</v>
      </c>
      <c r="D191" s="2689"/>
      <c r="E191" s="2431"/>
      <c r="F191" s="2610"/>
      <c r="G191" s="2654"/>
      <c r="H191" s="1727"/>
      <c r="I191" s="878" t="s">
        <v>1146</v>
      </c>
      <c r="J191" s="798"/>
      <c r="K191" s="1727"/>
      <c r="L191" s="441"/>
      <c r="M191" s="568"/>
      <c r="N191" s="561"/>
      <c r="O191" s="1851"/>
      <c r="P191" s="1851"/>
      <c r="AH191" s="1858">
        <v>0</v>
      </c>
    </row>
    <row s="11160" customFormat="1" customHeight="1" ht="0.75" hidden="1">
      <c r="A192" s="2007"/>
      <c r="B192" s="2007"/>
      <c r="C192" s="596" t="s">
        <v>1156</v>
      </c>
      <c r="D192" s="2689"/>
      <c r="E192" s="2431"/>
      <c r="F192" s="2610"/>
      <c r="G192" s="627"/>
      <c r="H192" s="1727"/>
      <c r="I192" s="878"/>
      <c r="J192" s="798"/>
      <c r="K192" s="1727"/>
      <c r="L192" s="441"/>
      <c r="M192" s="568"/>
      <c r="N192" s="561"/>
      <c r="O192" s="1851"/>
      <c r="P192" s="1851"/>
      <c r="AH192" s="1858">
        <v>0</v>
      </c>
    </row>
    <row s="11160" customFormat="1" customHeight="1" ht="18.75" hidden="1">
      <c r="A193" s="2007" t="s">
        <v>242</v>
      </c>
      <c r="B193" s="2007" t="s">
        <v>243</v>
      </c>
      <c r="C193" s="596"/>
      <c r="D193" s="2689"/>
      <c r="E193" s="2431"/>
      <c r="F193" s="261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654" t="str">
        <f>INDEX(PT_DIFFERENTIATION_NTAR,MATCH(B193,PT_DIFFERENTIATION_NTAR_ID,0))</f>
        <v/>
      </c>
      <c r="H193" s="2089"/>
      <c r="I193" s="1966"/>
      <c r="J193" s="2000"/>
      <c r="K193" s="2005"/>
      <c r="L193" s="2089" t="s">
        <v>308</v>
      </c>
      <c r="M193" s="568"/>
      <c r="N193" s="561"/>
      <c r="O193" s="1851"/>
      <c r="P193" s="1851"/>
      <c r="AH193" s="1858">
        <v>0</v>
      </c>
    </row>
    <row s="11160" customFormat="1" customHeight="1" ht="18.75" hidden="1">
      <c r="A194" s="2007"/>
      <c r="B194" s="2007"/>
      <c r="C194" s="596" t="s">
        <v>1147</v>
      </c>
      <c r="D194" s="2689"/>
      <c r="E194" s="2431"/>
      <c r="F194" s="2610"/>
      <c r="G194" s="2654"/>
      <c r="H194" s="1727"/>
      <c r="I194" s="878" t="s">
        <v>1146</v>
      </c>
      <c r="J194" s="798"/>
      <c r="K194" s="1727"/>
      <c r="L194" s="441"/>
      <c r="M194" s="568"/>
      <c r="N194" s="561"/>
      <c r="O194" s="1851"/>
      <c r="P194" s="1851"/>
      <c r="AH194" s="1858">
        <v>0</v>
      </c>
    </row>
    <row s="11160" customFormat="1" customHeight="1" ht="0.75" hidden="1">
      <c r="A195" s="2007"/>
      <c r="B195" s="2007"/>
      <c r="C195" s="596" t="s">
        <v>1156</v>
      </c>
      <c r="D195" s="2689"/>
      <c r="E195" s="2431"/>
      <c r="F195" s="2610"/>
      <c r="G195" s="627"/>
      <c r="H195" s="1727"/>
      <c r="I195" s="878"/>
      <c r="J195" s="798"/>
      <c r="K195" s="1727"/>
      <c r="L195" s="441"/>
      <c r="M195" s="568"/>
      <c r="N195" s="561"/>
      <c r="O195" s="1851"/>
      <c r="P195" s="1851"/>
      <c r="AH195" s="1858">
        <v>0</v>
      </c>
    </row>
    <row s="11160" customFormat="1" customHeight="1" ht="18.75">
      <c r="A196" s="2007" t="s">
        <v>249</v>
      </c>
      <c r="B196" s="2007" t="s">
        <v>250</v>
      </c>
      <c r="C196" s="596"/>
      <c r="D196" s="2689"/>
      <c r="E196" s="2431"/>
      <c r="F196" s="2610" t="str">
        <f>INDEX(PT_DIFFERENTIATION_VTAR,MATCH(A196,PT_DIFFERENTIATION_VTAR_ID,0))</f>
        <v>Тариф на горячую воду (горячее водоснабжение)</v>
      </c>
      <c r="G196" s="2654" t="str">
        <f>INDEX(PT_DIFFERENTIATION_NTAR,MATCH(B196,PT_DIFFERENTIATION_NTAR_ID,0))</f>
        <v>тариф на горячую воду</v>
      </c>
      <c r="H196" s="2089"/>
      <c r="I196" s="10335">
        <v>45839</v>
      </c>
      <c r="J196" s="10336">
        <v>46203</v>
      </c>
      <c r="K196" s="2005">
        <v>3303.76084</v>
      </c>
      <c r="L196" s="2089" t="s">
        <v>308</v>
      </c>
      <c r="M196" s="568"/>
      <c r="N196" s="561"/>
      <c r="O196" s="1851"/>
      <c r="P196" s="1851"/>
      <c r="AH196" s="1858">
        <v>0</v>
      </c>
    </row>
    <row s="12345" customFormat="1" customHeight="1" ht="56.25">
      <c r="A197" s="10337"/>
      <c r="B197" s="10337"/>
      <c r="C197" s="10338"/>
      <c r="D197" s="10339"/>
      <c r="E197" s="10340"/>
      <c r="F197" s="10340"/>
      <c r="G197" s="10340"/>
      <c r="H197" s="9551" t="s">
        <v>531</v>
      </c>
      <c r="I197" s="10335">
        <v>46204</v>
      </c>
      <c r="J197" s="10336">
        <v>46568</v>
      </c>
      <c r="K197" s="10348">
        <v>3303.76084</v>
      </c>
      <c r="L197" s="9553" t="s">
        <v>308</v>
      </c>
      <c r="M197" s="10342"/>
      <c r="N197" s="10343"/>
      <c r="O197" s="10344"/>
      <c r="P197" s="10344"/>
      <c r="Q197" s="9408"/>
      <c r="R197" s="9408"/>
      <c r="S197" s="9408"/>
      <c r="T197" s="9408"/>
      <c r="U197" s="9408"/>
      <c r="V197" s="9408"/>
      <c r="W197" s="9408"/>
      <c r="X197" s="9408"/>
      <c r="Y197" s="9408"/>
      <c r="Z197" s="9408"/>
      <c r="AA197" s="9408"/>
      <c r="AB197" s="9408"/>
      <c r="AC197" s="9408"/>
      <c r="AD197" s="9408"/>
      <c r="AE197" s="9408"/>
      <c r="AF197" s="9408"/>
      <c r="AG197" s="9408"/>
      <c r="AH197" s="9408">
        <v>0</v>
      </c>
    </row>
    <row s="12345" customFormat="1" customHeight="1" ht="56.25">
      <c r="A198" s="10337"/>
      <c r="B198" s="10337"/>
      <c r="C198" s="10338"/>
      <c r="D198" s="10339"/>
      <c r="E198" s="10340"/>
      <c r="F198" s="10340"/>
      <c r="G198" s="10340"/>
      <c r="H198" s="9551" t="s">
        <v>531</v>
      </c>
      <c r="I198" s="10335">
        <v>46569</v>
      </c>
      <c r="J198" s="10336">
        <v>46934</v>
      </c>
      <c r="K198" s="10348">
        <v>3303.76084</v>
      </c>
      <c r="L198" s="9553" t="s">
        <v>308</v>
      </c>
      <c r="M198" s="10342"/>
      <c r="N198" s="10343"/>
      <c r="O198" s="10344"/>
      <c r="P198" s="10344"/>
      <c r="Q198" s="9408"/>
      <c r="R198" s="9408"/>
      <c r="S198" s="9408"/>
      <c r="T198" s="9408"/>
      <c r="U198" s="9408"/>
      <c r="V198" s="9408"/>
      <c r="W198" s="9408"/>
      <c r="X198" s="9408"/>
      <c r="Y198" s="9408"/>
      <c r="Z198" s="9408"/>
      <c r="AA198" s="9408"/>
      <c r="AB198" s="9408"/>
      <c r="AC198" s="9408"/>
      <c r="AD198" s="9408"/>
      <c r="AE198" s="9408"/>
      <c r="AF198" s="9408"/>
      <c r="AG198" s="9408"/>
      <c r="AH198" s="9408">
        <v>0</v>
      </c>
    </row>
    <row s="12345" customFormat="1" customHeight="1" ht="56.25">
      <c r="A199" s="10337"/>
      <c r="B199" s="10337"/>
      <c r="C199" s="10338"/>
      <c r="D199" s="10339"/>
      <c r="E199" s="10340"/>
      <c r="F199" s="10340"/>
      <c r="G199" s="10340"/>
      <c r="H199" s="9551" t="s">
        <v>531</v>
      </c>
      <c r="I199" s="10335">
        <v>46935</v>
      </c>
      <c r="J199" s="10336">
        <v>47118</v>
      </c>
      <c r="K199" s="10348">
        <v>3303.76084</v>
      </c>
      <c r="L199" s="9553" t="s">
        <v>308</v>
      </c>
      <c r="M199" s="10342"/>
      <c r="N199" s="10343"/>
      <c r="O199" s="10344"/>
      <c r="P199" s="10344"/>
      <c r="Q199" s="9408"/>
      <c r="R199" s="9408"/>
      <c r="S199" s="9408"/>
      <c r="T199" s="9408"/>
      <c r="U199" s="9408"/>
      <c r="V199" s="9408"/>
      <c r="W199" s="9408"/>
      <c r="X199" s="9408"/>
      <c r="Y199" s="9408"/>
      <c r="Z199" s="9408"/>
      <c r="AA199" s="9408"/>
      <c r="AB199" s="9408"/>
      <c r="AC199" s="9408"/>
      <c r="AD199" s="9408"/>
      <c r="AE199" s="9408"/>
      <c r="AF199" s="9408"/>
      <c r="AG199" s="9408"/>
      <c r="AH199" s="9408">
        <v>0</v>
      </c>
    </row>
    <row s="11160" customFormat="1" customHeight="1" ht="18.75">
      <c r="A200" s="2007"/>
      <c r="B200" s="2007"/>
      <c r="C200" s="596" t="s">
        <v>1147</v>
      </c>
      <c r="D200" s="2689"/>
      <c r="E200" s="2431"/>
      <c r="F200" s="2610"/>
      <c r="G200" s="2654"/>
      <c r="H200" s="1727"/>
      <c r="I200" s="878" t="s">
        <v>1146</v>
      </c>
      <c r="J200" s="798"/>
      <c r="K200" s="1727"/>
      <c r="L200" s="441"/>
      <c r="M200" s="568"/>
      <c r="N200" s="561"/>
      <c r="O200" s="1851"/>
      <c r="P200" s="1851"/>
      <c r="AH200" s="1858">
        <v>0</v>
      </c>
    </row>
    <row s="11160" customFormat="1" customHeight="1" ht="0.75">
      <c r="A201" s="2007"/>
      <c r="B201" s="2007"/>
      <c r="C201" s="596" t="s">
        <v>1156</v>
      </c>
      <c r="D201" s="2689"/>
      <c r="E201" s="2431"/>
      <c r="F201" s="2610"/>
      <c r="G201" s="627"/>
      <c r="H201" s="1727"/>
      <c r="I201" s="878"/>
      <c r="J201" s="798"/>
      <c r="K201" s="1727"/>
      <c r="L201" s="441"/>
      <c r="M201" s="568"/>
      <c r="N201" s="561"/>
      <c r="O201" s="1851"/>
      <c r="P201" s="1851"/>
      <c r="AH201" s="1858">
        <v>0</v>
      </c>
    </row>
    <row s="11160" customFormat="1" customHeight="1" ht="18.75" hidden="1">
      <c r="A202" s="2007" t="s">
        <v>257</v>
      </c>
      <c r="B202" s="2007" t="s">
        <v>258</v>
      </c>
      <c r="C202" s="596"/>
      <c r="D202" s="2689"/>
      <c r="E202" s="2431"/>
      <c r="F202" s="2610" t="str">
        <f>INDEX(PT_DIFFERENTIATION_VTAR,MATCH(A202,PT_DIFFERENTIATION_VTAR_ID,0))</f>
        <v>Тариф на транспортировку горячей воды</v>
      </c>
      <c r="G202" s="2654" t="str">
        <f>INDEX(PT_DIFFERENTIATION_NTAR,MATCH(B202,PT_DIFFERENTIATION_NTAR_ID,0))</f>
        <v/>
      </c>
      <c r="H202" s="2089"/>
      <c r="I202" s="1966"/>
      <c r="J202" s="2000"/>
      <c r="K202" s="2005"/>
      <c r="L202" s="2089" t="s">
        <v>308</v>
      </c>
      <c r="M202" s="568"/>
      <c r="N202" s="561"/>
      <c r="O202" s="1851"/>
      <c r="P202" s="1851"/>
      <c r="AH202" s="1858">
        <v>0</v>
      </c>
    </row>
    <row s="11160" customFormat="1" customHeight="1" ht="18.75" hidden="1">
      <c r="A203" s="2007"/>
      <c r="B203" s="2007"/>
      <c r="C203" s="596" t="s">
        <v>1147</v>
      </c>
      <c r="D203" s="2689"/>
      <c r="E203" s="2431"/>
      <c r="F203" s="2610"/>
      <c r="G203" s="2654"/>
      <c r="H203" s="1727"/>
      <c r="I203" s="878" t="s">
        <v>1146</v>
      </c>
      <c r="J203" s="798"/>
      <c r="K203" s="1727"/>
      <c r="L203" s="441"/>
      <c r="M203" s="568"/>
      <c r="N203" s="561"/>
      <c r="O203" s="1851"/>
      <c r="P203" s="1851"/>
      <c r="AH203" s="1858">
        <v>0</v>
      </c>
    </row>
    <row s="11160" customFormat="1" customHeight="1" ht="0.75" hidden="1">
      <c r="A204" s="2007"/>
      <c r="B204" s="2007"/>
      <c r="C204" s="596" t="s">
        <v>1156</v>
      </c>
      <c r="D204" s="2689"/>
      <c r="E204" s="2431"/>
      <c r="F204" s="2610"/>
      <c r="G204" s="627"/>
      <c r="H204" s="1727"/>
      <c r="I204" s="878"/>
      <c r="J204" s="798"/>
      <c r="K204" s="1727"/>
      <c r="L204" s="441"/>
      <c r="M204" s="568"/>
      <c r="N204" s="561"/>
      <c r="O204" s="1851"/>
      <c r="P204" s="1851"/>
      <c r="AH204" s="1858">
        <v>0</v>
      </c>
    </row>
    <row s="11160" customFormat="1" customHeight="1" ht="18.75" hidden="1">
      <c r="A205" s="2007" t="s">
        <v>262</v>
      </c>
      <c r="B205" s="2007" t="s">
        <v>263</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горячего водоснабжения</v>
      </c>
      <c r="G205" s="2654" t="str">
        <f>INDEX(PT_DIFFERENTIATION_NTAR,MATCH(B205,PT_DIFFERENTIATION_NTAR_ID,0))</f>
        <v/>
      </c>
      <c r="H205" s="2089"/>
      <c r="I205" s="1966"/>
      <c r="J205" s="2000"/>
      <c r="K205" s="2005"/>
      <c r="L205" s="2089" t="s">
        <v>308</v>
      </c>
      <c r="M205" s="568"/>
      <c r="N205" s="561"/>
      <c r="O205" s="1851"/>
      <c r="P205" s="1851"/>
      <c r="AH205" s="1858">
        <v>0</v>
      </c>
    </row>
    <row s="11160" customFormat="1" customHeight="1" ht="18.75" hidden="1">
      <c r="A206" s="2007"/>
      <c r="B206" s="2007"/>
      <c r="C206" s="596" t="s">
        <v>1147</v>
      </c>
      <c r="D206" s="2689"/>
      <c r="E206" s="2431"/>
      <c r="F206" s="2610"/>
      <c r="G206" s="2654"/>
      <c r="H206" s="1727"/>
      <c r="I206" s="878" t="s">
        <v>1146</v>
      </c>
      <c r="J206" s="798"/>
      <c r="K206" s="1727"/>
      <c r="L206" s="441"/>
      <c r="M206" s="568"/>
      <c r="N206" s="561"/>
      <c r="O206" s="1851"/>
      <c r="P206" s="1851"/>
      <c r="AH206" s="1858">
        <v>0</v>
      </c>
    </row>
    <row s="11160" customFormat="1" customHeight="1" ht="0.75" hidden="1">
      <c r="A207" s="2007"/>
      <c r="B207" s="2007"/>
      <c r="C207" s="596" t="s">
        <v>1156</v>
      </c>
      <c r="D207" s="2689"/>
      <c r="E207" s="2431"/>
      <c r="F207" s="2610"/>
      <c r="G207" s="627"/>
      <c r="H207" s="1727"/>
      <c r="I207" s="878"/>
      <c r="J207" s="798"/>
      <c r="K207" s="1727"/>
      <c r="L207" s="441"/>
      <c r="M207" s="568"/>
      <c r="N207" s="561"/>
      <c r="O207" s="1851"/>
      <c r="P207" s="1851"/>
      <c r="AH207" s="1858">
        <v>0</v>
      </c>
    </row>
    <row s="11160" customFormat="1" customHeight="1" ht="18.75" hidden="1">
      <c r="A208" s="2007" t="s">
        <v>267</v>
      </c>
      <c r="B208" s="2007" t="s">
        <v>268</v>
      </c>
      <c r="C208" s="596"/>
      <c r="D208" s="2689"/>
      <c r="E208" s="2431"/>
      <c r="F208" s="2610" t="str">
        <f>INDEX(PT_DIFFERENTIATION_VTAR,MATCH(A208,PT_DIFFERENTIATION_VTAR_ID,0))</f>
        <v>Тариф на водоотведение</v>
      </c>
      <c r="G208" s="2654" t="str">
        <f>INDEX(PT_DIFFERENTIATION_NTAR,MATCH(B208,PT_DIFFERENTIATION_NTAR_ID,0))</f>
        <v/>
      </c>
      <c r="H208" s="2089"/>
      <c r="I208" s="1966"/>
      <c r="J208" s="2000"/>
      <c r="K208" s="2005"/>
      <c r="L208" s="2089" t="s">
        <v>308</v>
      </c>
      <c r="M208" s="568"/>
      <c r="N208" s="561"/>
      <c r="O208" s="1851"/>
      <c r="P208" s="1851"/>
      <c r="AH208" s="1858">
        <v>0</v>
      </c>
    </row>
    <row s="11160" customFormat="1" customHeight="1" ht="18.75" hidden="1">
      <c r="A209" s="2007"/>
      <c r="B209" s="2007"/>
      <c r="C209" s="596" t="s">
        <v>1147</v>
      </c>
      <c r="D209" s="2689"/>
      <c r="E209" s="2431"/>
      <c r="F209" s="2610"/>
      <c r="G209" s="2654"/>
      <c r="H209" s="1727"/>
      <c r="I209" s="878" t="s">
        <v>1146</v>
      </c>
      <c r="J209" s="798"/>
      <c r="K209" s="1727"/>
      <c r="L209" s="441"/>
      <c r="M209" s="568"/>
      <c r="N209" s="561"/>
      <c r="O209" s="1851"/>
      <c r="P209" s="1851"/>
      <c r="AH209" s="1858">
        <v>0</v>
      </c>
    </row>
    <row s="11160" customFormat="1" customHeight="1" ht="0.75" hidden="1">
      <c r="A210" s="2007"/>
      <c r="B210" s="2007"/>
      <c r="C210" s="596" t="s">
        <v>1156</v>
      </c>
      <c r="D210" s="2689"/>
      <c r="E210" s="2431"/>
      <c r="F210" s="2610"/>
      <c r="G210" s="627"/>
      <c r="H210" s="1727"/>
      <c r="I210" s="878"/>
      <c r="J210" s="798"/>
      <c r="K210" s="1727"/>
      <c r="L210" s="441"/>
      <c r="M210" s="568"/>
      <c r="N210" s="561"/>
      <c r="O210" s="1851"/>
      <c r="P210" s="1851"/>
      <c r="AH210" s="1858">
        <v>0</v>
      </c>
    </row>
    <row s="11160" customFormat="1" customHeight="1" ht="18.75" hidden="1">
      <c r="A211" s="2007" t="s">
        <v>272</v>
      </c>
      <c r="B211" s="2007" t="s">
        <v>273</v>
      </c>
      <c r="C211" s="596"/>
      <c r="D211" s="2689"/>
      <c r="E211" s="2431"/>
      <c r="F211" s="2610" t="str">
        <f>INDEX(PT_DIFFERENTIATION_VTAR,MATCH(A211,PT_DIFFERENTIATION_VTAR_ID,0))</f>
        <v>Тариф на транспортировку сточных вод</v>
      </c>
      <c r="G211" s="2654" t="str">
        <f>INDEX(PT_DIFFERENTIATION_NTAR,MATCH(B211,PT_DIFFERENTIATION_NTAR_ID,0))</f>
        <v/>
      </c>
      <c r="H211" s="2089"/>
      <c r="I211" s="1966"/>
      <c r="J211" s="2000"/>
      <c r="K211" s="2005"/>
      <c r="L211" s="2089" t="s">
        <v>308</v>
      </c>
      <c r="M211" s="568"/>
      <c r="N211" s="561"/>
      <c r="O211" s="1851"/>
      <c r="P211" s="1851"/>
      <c r="AH211" s="1858">
        <v>0</v>
      </c>
    </row>
    <row s="11160" customFormat="1" customHeight="1" ht="18.75" hidden="1">
      <c r="A212" s="2007"/>
      <c r="B212" s="2007"/>
      <c r="C212" s="596" t="s">
        <v>1147</v>
      </c>
      <c r="D212" s="2689"/>
      <c r="E212" s="2431"/>
      <c r="F212" s="2610"/>
      <c r="G212" s="2654"/>
      <c r="H212" s="1727"/>
      <c r="I212" s="878" t="s">
        <v>1146</v>
      </c>
      <c r="J212" s="798"/>
      <c r="K212" s="1727"/>
      <c r="L212" s="441"/>
      <c r="M212" s="568"/>
      <c r="N212" s="561"/>
      <c r="O212" s="1851"/>
      <c r="P212" s="1851"/>
      <c r="AH212" s="1858">
        <v>0</v>
      </c>
    </row>
    <row s="11160" customFormat="1" customHeight="1" ht="0.75" hidden="1">
      <c r="A213" s="2007"/>
      <c r="B213" s="2007"/>
      <c r="C213" s="596" t="s">
        <v>1156</v>
      </c>
      <c r="D213" s="2689"/>
      <c r="E213" s="2431"/>
      <c r="F213" s="2610"/>
      <c r="G213" s="627"/>
      <c r="H213" s="1727"/>
      <c r="I213" s="878"/>
      <c r="J213" s="798"/>
      <c r="K213" s="1727"/>
      <c r="L213" s="441"/>
      <c r="M213" s="568"/>
      <c r="N213" s="561"/>
      <c r="O213" s="1851"/>
      <c r="P213" s="1851"/>
      <c r="AH213" s="1858">
        <v>0</v>
      </c>
    </row>
    <row s="11160" customFormat="1" customHeight="1" ht="18.75" hidden="1">
      <c r="A214" s="2007" t="s">
        <v>277</v>
      </c>
      <c r="B214" s="2007" t="s">
        <v>278</v>
      </c>
      <c r="C214" s="596"/>
      <c r="D214" s="2689"/>
      <c r="E214" s="2431"/>
      <c r="F214" s="2610" t="str">
        <f>INDEX(PT_DIFFERENTIATION_VTAR,MATCH(A214,PT_DIFFERENTIATION_VTAR_ID,0))</f>
        <v>Тариф на подключение (технологическое присоединение) к централизованной системе водоотведения</v>
      </c>
      <c r="G214" s="2654" t="str">
        <f>INDEX(PT_DIFFERENTIATION_NTAR,MATCH(B214,PT_DIFFERENTIATION_NTAR_ID,0))</f>
        <v/>
      </c>
      <c r="H214" s="2089"/>
      <c r="I214" s="1966"/>
      <c r="J214" s="2000"/>
      <c r="K214" s="2005"/>
      <c r="L214" s="2089" t="s">
        <v>308</v>
      </c>
      <c r="M214" s="568"/>
      <c r="N214" s="561"/>
      <c r="O214" s="1851"/>
      <c r="P214" s="1851"/>
      <c r="AH214" s="1858">
        <v>0</v>
      </c>
    </row>
    <row s="11160" customFormat="1" customHeight="1" ht="18.75" hidden="1">
      <c r="A215" s="2007"/>
      <c r="B215" s="2007"/>
      <c r="C215" s="596" t="s">
        <v>1147</v>
      </c>
      <c r="D215" s="2689"/>
      <c r="E215" s="2431"/>
      <c r="F215" s="2610"/>
      <c r="G215" s="2654"/>
      <c r="H215" s="1727"/>
      <c r="I215" s="878" t="s">
        <v>1146</v>
      </c>
      <c r="J215" s="798"/>
      <c r="K215" s="1727"/>
      <c r="L215" s="441"/>
      <c r="M215" s="568"/>
      <c r="N215" s="561"/>
      <c r="O215" s="1851"/>
      <c r="P215" s="1851"/>
      <c r="AH215" s="1858">
        <v>0</v>
      </c>
    </row>
    <row s="11160" customFormat="1" customHeight="1" ht="1.05">
      <c r="A216" s="2007"/>
      <c r="B216" s="2007"/>
      <c r="C216" s="596" t="s">
        <v>1156</v>
      </c>
      <c r="D216" s="2689"/>
      <c r="E216" s="2431"/>
      <c r="F216" s="2610"/>
      <c r="G216" s="627"/>
      <c r="H216" s="1727"/>
      <c r="I216" s="878"/>
      <c r="J216" s="798"/>
      <c r="K216" s="1727"/>
      <c r="L216" s="441"/>
      <c r="M216" s="568"/>
      <c r="N216" s="561"/>
      <c r="O216" s="1851"/>
      <c r="P216" s="1851"/>
      <c r="AH216" s="1858">
        <v>1</v>
      </c>
    </row>
    <row customHeight="1" ht="27.299999999999997">
      <c r="A217" s="2007"/>
      <c r="B217" s="2007"/>
      <c r="D217" s="603"/>
      <c r="E217" s="374" t="s">
        <v>110</v>
      </c>
      <c r="F217"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687"/>
      <c r="H217" s="2687"/>
      <c r="I217" s="2687"/>
      <c r="J217" s="2687"/>
      <c r="K217" s="2687"/>
      <c r="L217" s="2687"/>
      <c r="M217" s="524"/>
      <c r="N217" s="561"/>
      <c r="AH217" s="601">
        <v>26</v>
      </c>
    </row>
    <row s="11160" customFormat="1" customHeight="1" ht="60.75" hidden="1">
      <c r="A218" s="2007" t="s">
        <v>154</v>
      </c>
      <c r="B218" s="2007" t="s">
        <v>155</v>
      </c>
      <c r="C218" s="596"/>
      <c r="D218" s="2689"/>
      <c r="E218" s="2431"/>
      <c r="F218" s="2610"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654" t="str">
        <f>INDEX(PT_DIFFERENTIATION_NTAR,MATCH(B218,PT_DIFFERENTIATION_NTAR_ID,0))</f>
        <v/>
      </c>
      <c r="H218" s="2089"/>
      <c r="I218" s="1966"/>
      <c r="J218" s="2000"/>
      <c r="K218" s="2005"/>
      <c r="L218" s="2089" t="s">
        <v>308</v>
      </c>
      <c r="M21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8" s="561"/>
      <c r="O218" s="1851"/>
      <c r="P218" s="1851"/>
      <c r="AH218" s="1858">
        <v>0</v>
      </c>
    </row>
    <row s="11160" customFormat="1" customHeight="1" ht="18.75" hidden="1">
      <c r="A219" s="2007"/>
      <c r="B219" s="2007"/>
      <c r="C219" s="596" t="s">
        <v>1147</v>
      </c>
      <c r="D219" s="2689"/>
      <c r="E219" s="2431"/>
      <c r="F219" s="2610"/>
      <c r="G219" s="2654"/>
      <c r="H219" s="1727"/>
      <c r="I219" s="878" t="s">
        <v>1146</v>
      </c>
      <c r="J219" s="798"/>
      <c r="K219" s="1727"/>
      <c r="L219" s="441"/>
      <c r="M219" s="2397"/>
      <c r="N219" s="561"/>
      <c r="O219" s="1851"/>
      <c r="P219" s="1851"/>
      <c r="AH219" s="1858">
        <v>0</v>
      </c>
    </row>
    <row s="11160" customFormat="1" customHeight="1" ht="0.75" hidden="1">
      <c r="A220" s="2007"/>
      <c r="B220" s="2007"/>
      <c r="C220" s="596" t="s">
        <v>1156</v>
      </c>
      <c r="D220" s="2689"/>
      <c r="E220" s="2431"/>
      <c r="F220" s="2610"/>
      <c r="G220" s="627"/>
      <c r="H220" s="1727"/>
      <c r="I220" s="878"/>
      <c r="J220" s="798"/>
      <c r="K220" s="1727"/>
      <c r="L220" s="441"/>
      <c r="M220" s="2397"/>
      <c r="N220" s="561"/>
      <c r="O220" s="1851"/>
      <c r="P220" s="1851"/>
      <c r="AH220" s="1858">
        <v>0</v>
      </c>
    </row>
    <row s="11160" customFormat="1" customHeight="1" ht="45" hidden="1">
      <c r="A221" s="2007" t="s">
        <v>159</v>
      </c>
      <c r="B221" s="2007" t="s">
        <v>160</v>
      </c>
      <c r="C221" s="596"/>
      <c r="D221" s="2689"/>
      <c r="E221" s="2431"/>
      <c r="F221" s="2610" t="str">
        <f>INDEX(PT_DIFFERENTIATION_VTAR,MATCH(A221,PT_DIFFERENTIATION_VTAR_ID,0))</f>
        <v/>
      </c>
      <c r="G221" s="2654" t="str">
        <f>INDEX(PT_DIFFERENTIATION_NTAR,MATCH(B221,PT_DIFFERENTIATION_NTAR_ID,0))</f>
        <v/>
      </c>
      <c r="H221" s="2089"/>
      <c r="I221" s="1966"/>
      <c r="J221" s="2000"/>
      <c r="K221" s="2005"/>
      <c r="L221" s="2089" t="s">
        <v>308</v>
      </c>
      <c r="M221" s="2398"/>
      <c r="N221" s="561"/>
      <c r="O221" s="1851"/>
      <c r="P221" s="1851"/>
      <c r="AH221" s="1858">
        <v>0</v>
      </c>
    </row>
    <row s="11160" customFormat="1" customHeight="1" ht="18.75" hidden="1">
      <c r="A222" s="2007"/>
      <c r="B222" s="2007"/>
      <c r="C222" s="596" t="s">
        <v>1147</v>
      </c>
      <c r="D222" s="2689"/>
      <c r="E222" s="2431"/>
      <c r="F222" s="2610"/>
      <c r="G222" s="2654"/>
      <c r="H222" s="1727"/>
      <c r="I222" s="878" t="s">
        <v>1146</v>
      </c>
      <c r="J222" s="798"/>
      <c r="K222" s="1727"/>
      <c r="L222" s="441"/>
      <c r="M222" s="2088"/>
      <c r="N222" s="561"/>
      <c r="O222" s="1851"/>
      <c r="P222" s="1851"/>
      <c r="AH222" s="1858">
        <v>0</v>
      </c>
    </row>
    <row s="11160" customFormat="1" customHeight="1" ht="0.75" hidden="1">
      <c r="A223" s="2007"/>
      <c r="B223" s="2007"/>
      <c r="C223" s="596" t="s">
        <v>1156</v>
      </c>
      <c r="D223" s="2689"/>
      <c r="E223" s="2431"/>
      <c r="F223" s="2610"/>
      <c r="G223" s="627"/>
      <c r="H223" s="1727"/>
      <c r="I223" s="878"/>
      <c r="J223" s="798"/>
      <c r="K223" s="1727"/>
      <c r="L223" s="441"/>
      <c r="M223" s="568"/>
      <c r="N223" s="561"/>
      <c r="O223" s="1851"/>
      <c r="P223" s="1851"/>
      <c r="AH223" s="1858">
        <v>0</v>
      </c>
    </row>
    <row s="11160" customFormat="1" customHeight="1" ht="45" hidden="1">
      <c r="A224" s="2007" t="s">
        <v>166</v>
      </c>
      <c r="B224" s="2007" t="s">
        <v>167</v>
      </c>
      <c r="C224" s="596"/>
      <c r="D224" s="2689"/>
      <c r="E224" s="2431"/>
      <c r="F224" s="2610"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654" t="str">
        <f>INDEX(PT_DIFFERENTIATION_NTAR,MATCH(B224,PT_DIFFERENTIATION_NTAR_ID,0))</f>
        <v/>
      </c>
      <c r="H224" s="2089"/>
      <c r="I224" s="1966"/>
      <c r="J224" s="2000"/>
      <c r="K224" s="2005"/>
      <c r="L224" s="2089" t="s">
        <v>308</v>
      </c>
      <c r="M224" s="568"/>
      <c r="N224" s="561"/>
      <c r="O224" s="1851"/>
      <c r="P224" s="1851"/>
      <c r="AH224" s="1858">
        <v>0</v>
      </c>
    </row>
    <row s="11160" customFormat="1" customHeight="1" ht="18.75" hidden="1">
      <c r="A225" s="2007"/>
      <c r="B225" s="2007"/>
      <c r="C225" s="596" t="s">
        <v>1147</v>
      </c>
      <c r="D225" s="2689"/>
      <c r="E225" s="2431"/>
      <c r="F225" s="2610"/>
      <c r="G225" s="2654"/>
      <c r="H225" s="1727"/>
      <c r="I225" s="878" t="s">
        <v>1146</v>
      </c>
      <c r="J225" s="798"/>
      <c r="K225" s="1727"/>
      <c r="L225" s="441"/>
      <c r="M225" s="568"/>
      <c r="N225" s="561"/>
      <c r="O225" s="1851"/>
      <c r="P225" s="1851"/>
      <c r="AH225" s="1858">
        <v>0</v>
      </c>
    </row>
    <row s="11160" customFormat="1" customHeight="1" ht="0.75" hidden="1">
      <c r="A226" s="2007"/>
      <c r="B226" s="2007"/>
      <c r="C226" s="596" t="s">
        <v>1156</v>
      </c>
      <c r="D226" s="2689"/>
      <c r="E226" s="2431"/>
      <c r="F226" s="2610"/>
      <c r="G226" s="627"/>
      <c r="H226" s="1727"/>
      <c r="I226" s="878"/>
      <c r="J226" s="798"/>
      <c r="K226" s="1727"/>
      <c r="L226" s="441"/>
      <c r="M226" s="568"/>
      <c r="N226" s="561"/>
      <c r="O226" s="1851"/>
      <c r="P226" s="1851"/>
      <c r="AH226" s="1858">
        <v>0</v>
      </c>
    </row>
    <row s="11160" customFormat="1" customHeight="1" ht="45" hidden="1">
      <c r="A227" s="2007" t="s">
        <v>172</v>
      </c>
      <c r="B227" s="2007" t="s">
        <v>173</v>
      </c>
      <c r="C227" s="596"/>
      <c r="D227" s="2689"/>
      <c r="E227" s="2431"/>
      <c r="F227" s="2610"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654" t="str">
        <f>INDEX(PT_DIFFERENTIATION_NTAR,MATCH(B227,PT_DIFFERENTIATION_NTAR_ID,0))</f>
        <v/>
      </c>
      <c r="H227" s="2089"/>
      <c r="I227" s="1966"/>
      <c r="J227" s="2000"/>
      <c r="K227" s="2005"/>
      <c r="L227" s="2089" t="s">
        <v>308</v>
      </c>
      <c r="M227" s="568"/>
      <c r="N227" s="561"/>
      <c r="O227" s="1851"/>
      <c r="P227" s="1851"/>
      <c r="AH227" s="1858">
        <v>0</v>
      </c>
    </row>
    <row s="11160" customFormat="1" customHeight="1" ht="18.75" hidden="1">
      <c r="A228" s="2007"/>
      <c r="B228" s="2007"/>
      <c r="C228" s="596" t="s">
        <v>1147</v>
      </c>
      <c r="D228" s="2689"/>
      <c r="E228" s="2431"/>
      <c r="F228" s="2610"/>
      <c r="G228" s="2654"/>
      <c r="H228" s="1727"/>
      <c r="I228" s="878" t="s">
        <v>1146</v>
      </c>
      <c r="J228" s="798"/>
      <c r="K228" s="1727"/>
      <c r="L228" s="441"/>
      <c r="M228" s="568"/>
      <c r="N228" s="561"/>
      <c r="O228" s="1851"/>
      <c r="P228" s="1851"/>
      <c r="AH228" s="1858">
        <v>0</v>
      </c>
    </row>
    <row s="11160" customFormat="1" customHeight="1" ht="0.75" hidden="1">
      <c r="A229" s="2007"/>
      <c r="B229" s="2007"/>
      <c r="C229" s="596" t="s">
        <v>1156</v>
      </c>
      <c r="D229" s="2689"/>
      <c r="E229" s="2431"/>
      <c r="F229" s="2610"/>
      <c r="G229" s="627"/>
      <c r="H229" s="1727"/>
      <c r="I229" s="878"/>
      <c r="J229" s="798"/>
      <c r="K229" s="1727"/>
      <c r="L229" s="441"/>
      <c r="M229" s="568"/>
      <c r="N229" s="561"/>
      <c r="O229" s="1851"/>
      <c r="P229" s="1851"/>
      <c r="AH229" s="1858">
        <v>0</v>
      </c>
    </row>
    <row s="11160" customFormat="1" customHeight="1" ht="18.75" hidden="1">
      <c r="A230" s="2007" t="s">
        <v>178</v>
      </c>
      <c r="B230" s="2007" t="s">
        <v>179</v>
      </c>
      <c r="C230" s="596"/>
      <c r="D230" s="2689"/>
      <c r="E230" s="2431"/>
      <c r="F230" s="2610" t="str">
        <f>INDEX(PT_DIFFERENTIATION_VTAR,MATCH(A230,PT_DIFFERENTIATION_VTAR_ID,0))</f>
        <v>Тарифы на услуги по передаче тепловой энергии</v>
      </c>
      <c r="G230" s="2654" t="str">
        <f>INDEX(PT_DIFFERENTIATION_NTAR,MATCH(B230,PT_DIFFERENTIATION_NTAR_ID,0))</f>
        <v/>
      </c>
      <c r="H230" s="2089"/>
      <c r="I230" s="1966"/>
      <c r="J230" s="2000"/>
      <c r="K230" s="2005"/>
      <c r="L230" s="2089" t="s">
        <v>308</v>
      </c>
      <c r="M230" s="568"/>
      <c r="N230" s="561"/>
      <c r="O230" s="1851"/>
      <c r="P230" s="1851"/>
      <c r="AH230" s="1858">
        <v>0</v>
      </c>
    </row>
    <row s="11160" customFormat="1" customHeight="1" ht="18.75" hidden="1">
      <c r="A231" s="2007"/>
      <c r="B231" s="2007"/>
      <c r="C231" s="596" t="s">
        <v>1147</v>
      </c>
      <c r="D231" s="2689"/>
      <c r="E231" s="2431"/>
      <c r="F231" s="2610"/>
      <c r="G231" s="2654"/>
      <c r="H231" s="1727"/>
      <c r="I231" s="878" t="s">
        <v>1146</v>
      </c>
      <c r="J231" s="798"/>
      <c r="K231" s="1727"/>
      <c r="L231" s="441"/>
      <c r="M231" s="568"/>
      <c r="N231" s="561"/>
      <c r="O231" s="1851"/>
      <c r="P231" s="1851"/>
      <c r="AH231" s="1858">
        <v>0</v>
      </c>
    </row>
    <row s="11160" customFormat="1" customHeight="1" ht="0.75" hidden="1">
      <c r="A232" s="2007"/>
      <c r="B232" s="2007"/>
      <c r="C232" s="596" t="s">
        <v>1156</v>
      </c>
      <c r="D232" s="2689"/>
      <c r="E232" s="2431"/>
      <c r="F232" s="2610"/>
      <c r="G232" s="627"/>
      <c r="H232" s="1727"/>
      <c r="I232" s="878"/>
      <c r="J232" s="798"/>
      <c r="K232" s="1727"/>
      <c r="L232" s="441"/>
      <c r="M232" s="568"/>
      <c r="N232" s="561"/>
      <c r="O232" s="1851"/>
      <c r="P232" s="1851"/>
      <c r="AH232" s="1858">
        <v>0</v>
      </c>
    </row>
    <row s="11160" customFormat="1" customHeight="1" ht="18.75" hidden="1">
      <c r="A233" s="2007" t="s">
        <v>184</v>
      </c>
      <c r="B233" s="2007" t="s">
        <v>185</v>
      </c>
      <c r="C233" s="596"/>
      <c r="D233" s="2689"/>
      <c r="E233" s="2431"/>
      <c r="F233" s="2610" t="str">
        <f>INDEX(PT_DIFFERENTIATION_VTAR,MATCH(A233,PT_DIFFERENTIATION_VTAR_ID,0))</f>
        <v>Тарифы на услуги по передаче теплоносителя</v>
      </c>
      <c r="G233" s="2654" t="str">
        <f>INDEX(PT_DIFFERENTIATION_NTAR,MATCH(B233,PT_DIFFERENTIATION_NTAR_ID,0))</f>
        <v/>
      </c>
      <c r="H233" s="2089"/>
      <c r="I233" s="1966"/>
      <c r="J233" s="2000"/>
      <c r="K233" s="2005"/>
      <c r="L233" s="2089" t="s">
        <v>308</v>
      </c>
      <c r="M233" s="568"/>
      <c r="N233" s="561"/>
      <c r="O233" s="1851"/>
      <c r="P233" s="1851"/>
      <c r="AH233" s="1858">
        <v>0</v>
      </c>
    </row>
    <row s="11160" customFormat="1" customHeight="1" ht="18.75" hidden="1">
      <c r="A234" s="2007"/>
      <c r="B234" s="2007"/>
      <c r="C234" s="596" t="s">
        <v>1147</v>
      </c>
      <c r="D234" s="2689"/>
      <c r="E234" s="2431"/>
      <c r="F234" s="2610"/>
      <c r="G234" s="2654"/>
      <c r="H234" s="1727"/>
      <c r="I234" s="878" t="s">
        <v>1146</v>
      </c>
      <c r="J234" s="798"/>
      <c r="K234" s="1727"/>
      <c r="L234" s="441"/>
      <c r="M234" s="568"/>
      <c r="N234" s="561"/>
      <c r="O234" s="1851"/>
      <c r="P234" s="1851"/>
      <c r="AH234" s="1858">
        <v>0</v>
      </c>
    </row>
    <row s="11160" customFormat="1" customHeight="1" ht="0.75" hidden="1">
      <c r="A235" s="2007"/>
      <c r="B235" s="2007"/>
      <c r="C235" s="596" t="s">
        <v>1156</v>
      </c>
      <c r="D235" s="2689"/>
      <c r="E235" s="2431"/>
      <c r="F235" s="2610"/>
      <c r="G235" s="627"/>
      <c r="H235" s="1727"/>
      <c r="I235" s="878"/>
      <c r="J235" s="798"/>
      <c r="K235" s="1727"/>
      <c r="L235" s="441"/>
      <c r="M235" s="568"/>
      <c r="N235" s="561"/>
      <c r="O235" s="1851"/>
      <c r="P235" s="1851"/>
      <c r="AH235" s="1858">
        <v>0</v>
      </c>
    </row>
    <row s="11160" customFormat="1" customHeight="1" ht="18.75" hidden="1">
      <c r="A236" s="2007" t="s">
        <v>190</v>
      </c>
      <c r="B236" s="2007" t="s">
        <v>191</v>
      </c>
      <c r="C236" s="596"/>
      <c r="D236" s="2689"/>
      <c r="E236" s="2431"/>
      <c r="F236" s="2610"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654" t="str">
        <f>INDEX(PT_DIFFERENTIATION_NTAR,MATCH(B236,PT_DIFFERENTIATION_NTAR_ID,0))</f>
        <v/>
      </c>
      <c r="H236" s="2089"/>
      <c r="I236" s="1966"/>
      <c r="J236" s="2000"/>
      <c r="K236" s="2005"/>
      <c r="L236" s="2089" t="s">
        <v>308</v>
      </c>
      <c r="M236" s="568"/>
      <c r="N236" s="561"/>
      <c r="O236" s="1851"/>
      <c r="P236" s="1851"/>
      <c r="AH236" s="1858">
        <v>0</v>
      </c>
    </row>
    <row s="11160" customFormat="1" customHeight="1" ht="18.75" hidden="1">
      <c r="A237" s="2007"/>
      <c r="B237" s="2007"/>
      <c r="C237" s="596" t="s">
        <v>1147</v>
      </c>
      <c r="D237" s="2689"/>
      <c r="E237" s="2431"/>
      <c r="F237" s="2610"/>
      <c r="G237" s="2654"/>
      <c r="H237" s="1727"/>
      <c r="I237" s="878" t="s">
        <v>1146</v>
      </c>
      <c r="J237" s="798"/>
      <c r="K237" s="1727"/>
      <c r="L237" s="441"/>
      <c r="M237" s="568"/>
      <c r="N237" s="561"/>
      <c r="O237" s="1851"/>
      <c r="P237" s="1851"/>
      <c r="AH237" s="1858">
        <v>0</v>
      </c>
    </row>
    <row s="11160" customFormat="1" customHeight="1" ht="0.75" hidden="1">
      <c r="A238" s="2007"/>
      <c r="B238" s="2007"/>
      <c r="C238" s="596" t="s">
        <v>1156</v>
      </c>
      <c r="D238" s="2689"/>
      <c r="E238" s="2431"/>
      <c r="F238" s="2610"/>
      <c r="G238" s="627"/>
      <c r="H238" s="1727"/>
      <c r="I238" s="878"/>
      <c r="J238" s="798"/>
      <c r="K238" s="1727"/>
      <c r="L238" s="441"/>
      <c r="M238" s="568"/>
      <c r="N238" s="561"/>
      <c r="O238" s="1851"/>
      <c r="P238" s="1851"/>
      <c r="AH238" s="1858">
        <v>0</v>
      </c>
    </row>
    <row s="11160" customFormat="1" customHeight="1" ht="18.75" hidden="1">
      <c r="A239" s="2007" t="s">
        <v>196</v>
      </c>
      <c r="B239" s="2007" t="s">
        <v>197</v>
      </c>
      <c r="C239" s="596"/>
      <c r="D239" s="2689"/>
      <c r="E239" s="2431"/>
      <c r="F239" s="2610" t="str">
        <f>INDEX(PT_DIFFERENTIATION_VTAR,MATCH(A239,PT_DIFFERENTIATION_VTAR_ID,0))</f>
        <v>Плата за подключение (технологическое присоединение) к системе теплоснабжения</v>
      </c>
      <c r="G239" s="2654" t="str">
        <f>INDEX(PT_DIFFERENTIATION_NTAR,MATCH(B239,PT_DIFFERENTIATION_NTAR_ID,0))</f>
        <v/>
      </c>
      <c r="H239" s="2089"/>
      <c r="I239" s="1966"/>
      <c r="J239" s="2000"/>
      <c r="K239" s="2005"/>
      <c r="L239" s="2089" t="s">
        <v>308</v>
      </c>
      <c r="M239" s="568"/>
      <c r="N239" s="561"/>
      <c r="O239" s="1851"/>
      <c r="P239" s="1851"/>
      <c r="AH239" s="1858">
        <v>0</v>
      </c>
    </row>
    <row s="11160" customFormat="1" customHeight="1" ht="18.75" hidden="1">
      <c r="A240" s="2007"/>
      <c r="B240" s="2007"/>
      <c r="C240" s="596" t="s">
        <v>1147</v>
      </c>
      <c r="D240" s="2689"/>
      <c r="E240" s="2431"/>
      <c r="F240" s="2610"/>
      <c r="G240" s="2654"/>
      <c r="H240" s="1727"/>
      <c r="I240" s="878" t="s">
        <v>1146</v>
      </c>
      <c r="J240" s="798"/>
      <c r="K240" s="1727"/>
      <c r="L240" s="441"/>
      <c r="M240" s="568"/>
      <c r="N240" s="561"/>
      <c r="O240" s="1851"/>
      <c r="P240" s="1851"/>
      <c r="AH240" s="1858">
        <v>0</v>
      </c>
    </row>
    <row s="11160" customFormat="1" customHeight="1" ht="0.75" hidden="1">
      <c r="A241" s="2007"/>
      <c r="B241" s="2007"/>
      <c r="C241" s="596" t="s">
        <v>1156</v>
      </c>
      <c r="D241" s="2689"/>
      <c r="E241" s="2431"/>
      <c r="F241" s="2610"/>
      <c r="G241" s="627"/>
      <c r="H241" s="1727"/>
      <c r="I241" s="878"/>
      <c r="J241" s="798"/>
      <c r="K241" s="1727"/>
      <c r="L241" s="441"/>
      <c r="M241" s="568"/>
      <c r="N241" s="561"/>
      <c r="O241" s="1851"/>
      <c r="P241" s="1851"/>
      <c r="AH241" s="1858">
        <v>0</v>
      </c>
    </row>
    <row s="11160" customFormat="1" customHeight="1" ht="18.75" hidden="1">
      <c r="A242" s="2007" t="s">
        <v>202</v>
      </c>
      <c r="B242" s="2007" t="s">
        <v>203</v>
      </c>
      <c r="C242" s="596"/>
      <c r="D242" s="2689"/>
      <c r="E242" s="2431"/>
      <c r="F242" s="2610" t="str">
        <f>INDEX(PT_DIFFERENTIATION_VTAR,MATCH(A242,PT_DIFFERENTIATION_VTAR_ID,0))</f>
        <v>Плата за подключение (технологическое присоединение) к системе теплоснабжения (индивидуальная)</v>
      </c>
      <c r="G242" s="2654" t="str">
        <f>INDEX(PT_DIFFERENTIATION_NTAR,MATCH(B242,PT_DIFFERENTIATION_NTAR_ID,0))</f>
        <v/>
      </c>
      <c r="H242" s="2216"/>
      <c r="I242" s="1966"/>
      <c r="J242" s="2000"/>
      <c r="K242" s="2005"/>
      <c r="L242" s="2216" t="s">
        <v>308</v>
      </c>
      <c r="M242" s="568"/>
      <c r="N242" s="561"/>
      <c r="O242" s="1851"/>
      <c r="P242" s="1851"/>
      <c r="AH242" s="1858">
        <v>0</v>
      </c>
    </row>
    <row s="11160" customFormat="1" customHeight="1" ht="18.75" hidden="1">
      <c r="A243" s="2007"/>
      <c r="B243" s="2007"/>
      <c r="C243" s="596" t="s">
        <v>1147</v>
      </c>
      <c r="D243" s="2689"/>
      <c r="E243" s="2431"/>
      <c r="F243" s="2610"/>
      <c r="G243" s="2654"/>
      <c r="H243" s="1727"/>
      <c r="I243" s="878" t="s">
        <v>1146</v>
      </c>
      <c r="J243" s="798"/>
      <c r="K243" s="1727"/>
      <c r="L243" s="441"/>
      <c r="M243" s="568"/>
      <c r="N243" s="561"/>
      <c r="O243" s="1851"/>
      <c r="P243" s="1851"/>
      <c r="AH243" s="1858">
        <v>0</v>
      </c>
    </row>
    <row s="11160" customFormat="1" customHeight="1" ht="0.75" hidden="1">
      <c r="A244" s="2007"/>
      <c r="B244" s="2007"/>
      <c r="C244" s="596" t="s">
        <v>1156</v>
      </c>
      <c r="D244" s="2689"/>
      <c r="E244" s="2431"/>
      <c r="F244" s="2610"/>
      <c r="G244" s="627"/>
      <c r="H244" s="1727"/>
      <c r="I244" s="878"/>
      <c r="J244" s="798"/>
      <c r="K244" s="1727"/>
      <c r="L244" s="441"/>
      <c r="M244" s="568"/>
      <c r="N244" s="561"/>
      <c r="O244" s="1851"/>
      <c r="P244" s="1851"/>
      <c r="AH244" s="1858">
        <v>0</v>
      </c>
    </row>
    <row s="11160" customFormat="1" customHeight="1" ht="18.75" hidden="1">
      <c r="A245" s="2007" t="s">
        <v>222</v>
      </c>
      <c r="B245" s="2007" t="s">
        <v>223</v>
      </c>
      <c r="C245" s="596"/>
      <c r="D245" s="2689"/>
      <c r="E245" s="2431"/>
      <c r="F245" s="2610" t="str">
        <f>INDEX(PT_DIFFERENTIATION_VTAR,MATCH(A245,PT_DIFFERENTIATION_VTAR_ID,0))</f>
        <v>Тариф на питьевую воду (питьевое водоснабжение)</v>
      </c>
      <c r="G245" s="2654" t="str">
        <f>INDEX(PT_DIFFERENTIATION_NTAR,MATCH(B245,PT_DIFFERENTIATION_NTAR_ID,0))</f>
        <v/>
      </c>
      <c r="H245" s="2089"/>
      <c r="I245" s="1966"/>
      <c r="J245" s="2000"/>
      <c r="K245" s="2005"/>
      <c r="L245" s="2089" t="s">
        <v>308</v>
      </c>
      <c r="M245" s="568"/>
      <c r="N245" s="561"/>
      <c r="O245" s="1851"/>
      <c r="P245" s="1851"/>
      <c r="AH245" s="1858">
        <v>0</v>
      </c>
    </row>
    <row s="11160" customFormat="1" customHeight="1" ht="18.75" hidden="1">
      <c r="A246" s="2007"/>
      <c r="B246" s="2007"/>
      <c r="C246" s="596" t="s">
        <v>1147</v>
      </c>
      <c r="D246" s="2689"/>
      <c r="E246" s="2431"/>
      <c r="F246" s="2610"/>
      <c r="G246" s="2654"/>
      <c r="H246" s="1727"/>
      <c r="I246" s="878" t="s">
        <v>1146</v>
      </c>
      <c r="J246" s="798"/>
      <c r="K246" s="1727"/>
      <c r="L246" s="441"/>
      <c r="M246" s="568"/>
      <c r="N246" s="561"/>
      <c r="O246" s="1851"/>
      <c r="P246" s="1851"/>
      <c r="AH246" s="1858">
        <v>0</v>
      </c>
    </row>
    <row s="11160" customFormat="1" customHeight="1" ht="0.75" hidden="1">
      <c r="A247" s="2007"/>
      <c r="B247" s="2007"/>
      <c r="C247" s="596" t="s">
        <v>1156</v>
      </c>
      <c r="D247" s="2689"/>
      <c r="E247" s="2431"/>
      <c r="F247" s="2610"/>
      <c r="G247" s="627"/>
      <c r="H247" s="1727"/>
      <c r="I247" s="878"/>
      <c r="J247" s="798"/>
      <c r="K247" s="1727"/>
      <c r="L247" s="441"/>
      <c r="M247" s="568"/>
      <c r="N247" s="561"/>
      <c r="O247" s="1851"/>
      <c r="P247" s="1851"/>
      <c r="AH247" s="1858">
        <v>0</v>
      </c>
    </row>
    <row s="11160" customFormat="1" customHeight="1" ht="18.75" hidden="1">
      <c r="A248" s="2007" t="s">
        <v>227</v>
      </c>
      <c r="B248" s="2007" t="s">
        <v>228</v>
      </c>
      <c r="C248" s="596"/>
      <c r="D248" s="2689"/>
      <c r="E248" s="2431"/>
      <c r="F248" s="2610" t="str">
        <f>INDEX(PT_DIFFERENTIATION_VTAR,MATCH(A248,PT_DIFFERENTIATION_VTAR_ID,0))</f>
        <v>Тариф на техническую воду</v>
      </c>
      <c r="G248" s="2654" t="str">
        <f>INDEX(PT_DIFFERENTIATION_NTAR,MATCH(B248,PT_DIFFERENTIATION_NTAR_ID,0))</f>
        <v/>
      </c>
      <c r="H248" s="2089"/>
      <c r="I248" s="1966"/>
      <c r="J248" s="2000"/>
      <c r="K248" s="2005"/>
      <c r="L248" s="2089" t="s">
        <v>308</v>
      </c>
      <c r="M248" s="568"/>
      <c r="N248" s="561"/>
      <c r="O248" s="1851"/>
      <c r="P248" s="1851"/>
      <c r="AH248" s="1858">
        <v>0</v>
      </c>
    </row>
    <row s="11160" customFormat="1" customHeight="1" ht="18.75" hidden="1">
      <c r="A249" s="2007"/>
      <c r="B249" s="2007"/>
      <c r="C249" s="596" t="s">
        <v>1147</v>
      </c>
      <c r="D249" s="2689"/>
      <c r="E249" s="2431"/>
      <c r="F249" s="2610"/>
      <c r="G249" s="2654"/>
      <c r="H249" s="1727"/>
      <c r="I249" s="878" t="s">
        <v>1146</v>
      </c>
      <c r="J249" s="798"/>
      <c r="K249" s="1727"/>
      <c r="L249" s="441"/>
      <c r="M249" s="568"/>
      <c r="N249" s="561"/>
      <c r="O249" s="1851"/>
      <c r="P249" s="1851"/>
      <c r="AH249" s="1858">
        <v>0</v>
      </c>
    </row>
    <row s="11160" customFormat="1" customHeight="1" ht="0.75" hidden="1">
      <c r="A250" s="2007"/>
      <c r="B250" s="2007"/>
      <c r="C250" s="596" t="s">
        <v>1156</v>
      </c>
      <c r="D250" s="2689"/>
      <c r="E250" s="2431"/>
      <c r="F250" s="2610"/>
      <c r="G250" s="627"/>
      <c r="H250" s="1727"/>
      <c r="I250" s="878"/>
      <c r="J250" s="798"/>
      <c r="K250" s="1727"/>
      <c r="L250" s="441"/>
      <c r="M250" s="568"/>
      <c r="N250" s="561"/>
      <c r="O250" s="1851"/>
      <c r="P250" s="1851"/>
      <c r="AH250" s="1858">
        <v>0</v>
      </c>
    </row>
    <row s="11160" customFormat="1" customHeight="1" ht="18.75" hidden="1">
      <c r="A251" s="2007" t="s">
        <v>232</v>
      </c>
      <c r="B251" s="2007" t="s">
        <v>233</v>
      </c>
      <c r="C251" s="596"/>
      <c r="D251" s="2689"/>
      <c r="E251" s="2431"/>
      <c r="F251" s="2610" t="str">
        <f>INDEX(PT_DIFFERENTIATION_VTAR,MATCH(A251,PT_DIFFERENTIATION_VTAR_ID,0))</f>
        <v>Тариф на транспортировку воды</v>
      </c>
      <c r="G251" s="2654" t="str">
        <f>INDEX(PT_DIFFERENTIATION_NTAR,MATCH(B251,PT_DIFFERENTIATION_NTAR_ID,0))</f>
        <v/>
      </c>
      <c r="H251" s="2089"/>
      <c r="I251" s="1966"/>
      <c r="J251" s="2000"/>
      <c r="K251" s="2005"/>
      <c r="L251" s="2089" t="s">
        <v>308</v>
      </c>
      <c r="M251" s="568"/>
      <c r="N251" s="561"/>
      <c r="O251" s="1851"/>
      <c r="P251" s="1851"/>
      <c r="AH251" s="1858">
        <v>0</v>
      </c>
    </row>
    <row s="11160" customFormat="1" customHeight="1" ht="18.75" hidden="1">
      <c r="A252" s="2007"/>
      <c r="B252" s="2007"/>
      <c r="C252" s="596" t="s">
        <v>1147</v>
      </c>
      <c r="D252" s="2689"/>
      <c r="E252" s="2431"/>
      <c r="F252" s="2610"/>
      <c r="G252" s="2654"/>
      <c r="H252" s="1727"/>
      <c r="I252" s="878" t="s">
        <v>1146</v>
      </c>
      <c r="J252" s="798"/>
      <c r="K252" s="1727"/>
      <c r="L252" s="441"/>
      <c r="M252" s="568"/>
      <c r="N252" s="561"/>
      <c r="O252" s="1851"/>
      <c r="P252" s="1851"/>
      <c r="AH252" s="1858">
        <v>0</v>
      </c>
    </row>
    <row s="11160" customFormat="1" customHeight="1" ht="0.75" hidden="1">
      <c r="A253" s="2007"/>
      <c r="B253" s="2007"/>
      <c r="C253" s="596" t="s">
        <v>1156</v>
      </c>
      <c r="D253" s="2689"/>
      <c r="E253" s="2431"/>
      <c r="F253" s="2610"/>
      <c r="G253" s="627"/>
      <c r="H253" s="1727"/>
      <c r="I253" s="878"/>
      <c r="J253" s="798"/>
      <c r="K253" s="1727"/>
      <c r="L253" s="441"/>
      <c r="M253" s="568"/>
      <c r="N253" s="561"/>
      <c r="O253" s="1851"/>
      <c r="P253" s="1851"/>
      <c r="AH253" s="1858">
        <v>0</v>
      </c>
    </row>
    <row s="11160" customFormat="1" customHeight="1" ht="18.75" hidden="1">
      <c r="A254" s="2007" t="s">
        <v>237</v>
      </c>
      <c r="B254" s="2007" t="s">
        <v>238</v>
      </c>
      <c r="C254" s="596"/>
      <c r="D254" s="2689"/>
      <c r="E254" s="2431"/>
      <c r="F254" s="2610" t="str">
        <f>INDEX(PT_DIFFERENTIATION_VTAR,MATCH(A254,PT_DIFFERENTIATION_VTAR_ID,0))</f>
        <v>Тариф на подвоз воды</v>
      </c>
      <c r="G254" s="2654" t="str">
        <f>INDEX(PT_DIFFERENTIATION_NTAR,MATCH(B254,PT_DIFFERENTIATION_NTAR_ID,0))</f>
        <v/>
      </c>
      <c r="H254" s="2089"/>
      <c r="I254" s="1966"/>
      <c r="J254" s="2000"/>
      <c r="K254" s="2005"/>
      <c r="L254" s="2089" t="s">
        <v>308</v>
      </c>
      <c r="M254" s="568"/>
      <c r="N254" s="561"/>
      <c r="O254" s="1851"/>
      <c r="P254" s="1851"/>
      <c r="AH254" s="1858">
        <v>0</v>
      </c>
    </row>
    <row s="11160" customFormat="1" customHeight="1" ht="18.75" hidden="1">
      <c r="A255" s="2007"/>
      <c r="B255" s="2007"/>
      <c r="C255" s="596" t="s">
        <v>1147</v>
      </c>
      <c r="D255" s="2689"/>
      <c r="E255" s="2431"/>
      <c r="F255" s="2610"/>
      <c r="G255" s="2654"/>
      <c r="H255" s="1727"/>
      <c r="I255" s="878" t="s">
        <v>1146</v>
      </c>
      <c r="J255" s="798"/>
      <c r="K255" s="1727"/>
      <c r="L255" s="441"/>
      <c r="M255" s="568"/>
      <c r="N255" s="561"/>
      <c r="O255" s="1851"/>
      <c r="P255" s="1851"/>
      <c r="AH255" s="1858">
        <v>0</v>
      </c>
    </row>
    <row s="11160" customFormat="1" customHeight="1" ht="0.75" hidden="1">
      <c r="A256" s="2007"/>
      <c r="B256" s="2007"/>
      <c r="C256" s="596" t="s">
        <v>1156</v>
      </c>
      <c r="D256" s="2689"/>
      <c r="E256" s="2431"/>
      <c r="F256" s="2610"/>
      <c r="G256" s="627"/>
      <c r="H256" s="1727"/>
      <c r="I256" s="878"/>
      <c r="J256" s="798"/>
      <c r="K256" s="1727"/>
      <c r="L256" s="441"/>
      <c r="M256" s="568"/>
      <c r="N256" s="561"/>
      <c r="O256" s="1851"/>
      <c r="P256" s="1851"/>
      <c r="AH256" s="1858">
        <v>0</v>
      </c>
    </row>
    <row s="11160" customFormat="1" customHeight="1" ht="18.75" hidden="1">
      <c r="A257" s="2007" t="s">
        <v>242</v>
      </c>
      <c r="B257" s="2007" t="s">
        <v>243</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654" t="str">
        <f>INDEX(PT_DIFFERENTIATION_NTAR,MATCH(B257,PT_DIFFERENTIATION_NTAR_ID,0))</f>
        <v/>
      </c>
      <c r="H257" s="2089"/>
      <c r="I257" s="1966"/>
      <c r="J257" s="2000"/>
      <c r="K257" s="2005"/>
      <c r="L257" s="2089" t="s">
        <v>308</v>
      </c>
      <c r="M257" s="568"/>
      <c r="N257" s="561"/>
      <c r="O257" s="1851"/>
      <c r="P257" s="1851"/>
      <c r="AH257" s="1858">
        <v>0</v>
      </c>
    </row>
    <row s="11160" customFormat="1" customHeight="1" ht="18.75" hidden="1">
      <c r="A258" s="2007"/>
      <c r="B258" s="2007"/>
      <c r="C258" s="596" t="s">
        <v>1147</v>
      </c>
      <c r="D258" s="2689"/>
      <c r="E258" s="2431"/>
      <c r="F258" s="2610"/>
      <c r="G258" s="2654"/>
      <c r="H258" s="1727"/>
      <c r="I258" s="878" t="s">
        <v>1146</v>
      </c>
      <c r="J258" s="798"/>
      <c r="K258" s="1727"/>
      <c r="L258" s="441"/>
      <c r="M258" s="568"/>
      <c r="N258" s="561"/>
      <c r="O258" s="1851"/>
      <c r="P258" s="1851"/>
      <c r="AH258" s="1858">
        <v>0</v>
      </c>
    </row>
    <row s="11160" customFormat="1" customHeight="1" ht="0.75" hidden="1">
      <c r="A259" s="2007"/>
      <c r="B259" s="2007"/>
      <c r="C259" s="596" t="s">
        <v>1156</v>
      </c>
      <c r="D259" s="2689"/>
      <c r="E259" s="2431"/>
      <c r="F259" s="2610"/>
      <c r="G259" s="627"/>
      <c r="H259" s="1727"/>
      <c r="I259" s="878"/>
      <c r="J259" s="798"/>
      <c r="K259" s="1727"/>
      <c r="L259" s="441"/>
      <c r="M259" s="568"/>
      <c r="N259" s="561"/>
      <c r="O259" s="1851"/>
      <c r="P259" s="1851"/>
      <c r="AH259" s="1858">
        <v>0</v>
      </c>
    </row>
    <row s="11160" customFormat="1" customHeight="1" ht="18.75">
      <c r="A260" s="2007" t="s">
        <v>249</v>
      </c>
      <c r="B260" s="2007" t="s">
        <v>250</v>
      </c>
      <c r="C260" s="596"/>
      <c r="D260" s="2689"/>
      <c r="E260" s="2431"/>
      <c r="F260" s="2610" t="str">
        <f>INDEX(PT_DIFFERENTIATION_VTAR,MATCH(A260,PT_DIFFERENTIATION_VTAR_ID,0))</f>
        <v>Тариф на горячую воду (горячее водоснабжение)</v>
      </c>
      <c r="G260" s="2654" t="str">
        <f>INDEX(PT_DIFFERENTIATION_NTAR,MATCH(B260,PT_DIFFERENTIATION_NTAR_ID,0))</f>
        <v>тариф на горячую воду</v>
      </c>
      <c r="H260" s="2089"/>
      <c r="I260" s="10335">
        <v>45839</v>
      </c>
      <c r="J260" s="10336">
        <v>47118</v>
      </c>
      <c r="K260" s="2005">
        <v>0</v>
      </c>
      <c r="L260" s="2089" t="s">
        <v>308</v>
      </c>
      <c r="M260" s="568"/>
      <c r="N260" s="561"/>
      <c r="O260" s="1851"/>
      <c r="P260" s="1851"/>
      <c r="AH260" s="1858">
        <v>0</v>
      </c>
    </row>
    <row s="11160" customFormat="1" customHeight="1" ht="18.75">
      <c r="A261" s="2007"/>
      <c r="B261" s="2007"/>
      <c r="C261" s="596" t="s">
        <v>1147</v>
      </c>
      <c r="D261" s="2689"/>
      <c r="E261" s="2431"/>
      <c r="F261" s="2610"/>
      <c r="G261" s="2654"/>
      <c r="H261" s="1727"/>
      <c r="I261" s="878" t="s">
        <v>1146</v>
      </c>
      <c r="J261" s="798"/>
      <c r="K261" s="1727"/>
      <c r="L261" s="441"/>
      <c r="M261" s="568"/>
      <c r="N261" s="561"/>
      <c r="O261" s="1851"/>
      <c r="P261" s="1851"/>
      <c r="AH261" s="1858">
        <v>0</v>
      </c>
    </row>
    <row s="11160" customFormat="1" customHeight="1" ht="0.75">
      <c r="A262" s="2007"/>
      <c r="B262" s="2007"/>
      <c r="C262" s="596" t="s">
        <v>1156</v>
      </c>
      <c r="D262" s="2689"/>
      <c r="E262" s="2431"/>
      <c r="F262" s="2610"/>
      <c r="G262" s="627"/>
      <c r="H262" s="1727"/>
      <c r="I262" s="878"/>
      <c r="J262" s="798"/>
      <c r="K262" s="1727"/>
      <c r="L262" s="441"/>
      <c r="M262" s="568"/>
      <c r="N262" s="561"/>
      <c r="O262" s="1851"/>
      <c r="P262" s="1851"/>
      <c r="AH262" s="1858">
        <v>0</v>
      </c>
    </row>
    <row s="11160" customFormat="1" customHeight="1" ht="18.75" hidden="1">
      <c r="A263" s="2007" t="s">
        <v>257</v>
      </c>
      <c r="B263" s="2007" t="s">
        <v>258</v>
      </c>
      <c r="C263" s="596"/>
      <c r="D263" s="2689"/>
      <c r="E263" s="2431"/>
      <c r="F263" s="2610" t="str">
        <f>INDEX(PT_DIFFERENTIATION_VTAR,MATCH(A263,PT_DIFFERENTIATION_VTAR_ID,0))</f>
        <v>Тариф на транспортировку горячей воды</v>
      </c>
      <c r="G263" s="2654" t="str">
        <f>INDEX(PT_DIFFERENTIATION_NTAR,MATCH(B263,PT_DIFFERENTIATION_NTAR_ID,0))</f>
        <v/>
      </c>
      <c r="H263" s="2089"/>
      <c r="I263" s="1966"/>
      <c r="J263" s="2000"/>
      <c r="K263" s="2005"/>
      <c r="L263" s="2089" t="s">
        <v>308</v>
      </c>
      <c r="M263" s="568"/>
      <c r="N263" s="561"/>
      <c r="O263" s="1851"/>
      <c r="P263" s="1851"/>
      <c r="AH263" s="1858">
        <v>0</v>
      </c>
    </row>
    <row s="11160" customFormat="1" customHeight="1" ht="18.75" hidden="1">
      <c r="A264" s="2007"/>
      <c r="B264" s="2007"/>
      <c r="C264" s="596" t="s">
        <v>1147</v>
      </c>
      <c r="D264" s="2689"/>
      <c r="E264" s="2431"/>
      <c r="F264" s="2610"/>
      <c r="G264" s="2654"/>
      <c r="H264" s="1727"/>
      <c r="I264" s="878" t="s">
        <v>1146</v>
      </c>
      <c r="J264" s="798"/>
      <c r="K264" s="1727"/>
      <c r="L264" s="441"/>
      <c r="M264" s="568"/>
      <c r="N264" s="561"/>
      <c r="O264" s="1851"/>
      <c r="P264" s="1851"/>
      <c r="AH264" s="1858">
        <v>0</v>
      </c>
    </row>
    <row s="11160" customFormat="1" customHeight="1" ht="0.75" hidden="1">
      <c r="A265" s="2007"/>
      <c r="B265" s="2007"/>
      <c r="C265" s="596" t="s">
        <v>1156</v>
      </c>
      <c r="D265" s="2689"/>
      <c r="E265" s="2431"/>
      <c r="F265" s="2610"/>
      <c r="G265" s="627"/>
      <c r="H265" s="1727"/>
      <c r="I265" s="878"/>
      <c r="J265" s="798"/>
      <c r="K265" s="1727"/>
      <c r="L265" s="441"/>
      <c r="M265" s="568"/>
      <c r="N265" s="561"/>
      <c r="O265" s="1851"/>
      <c r="P265" s="1851"/>
      <c r="AH265" s="1858">
        <v>0</v>
      </c>
    </row>
    <row s="11160" customFormat="1" customHeight="1" ht="18.75" hidden="1">
      <c r="A266" s="2007" t="s">
        <v>262</v>
      </c>
      <c r="B266" s="2007" t="s">
        <v>263</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горячего водоснабжения</v>
      </c>
      <c r="G266" s="2654" t="str">
        <f>INDEX(PT_DIFFERENTIATION_NTAR,MATCH(B266,PT_DIFFERENTIATION_NTAR_ID,0))</f>
        <v/>
      </c>
      <c r="H266" s="2089"/>
      <c r="I266" s="1966"/>
      <c r="J266" s="2000"/>
      <c r="K266" s="2005"/>
      <c r="L266" s="2089" t="s">
        <v>308</v>
      </c>
      <c r="M266" s="568"/>
      <c r="N266" s="561"/>
      <c r="O266" s="1851"/>
      <c r="P266" s="1851"/>
      <c r="AH266" s="1858">
        <v>0</v>
      </c>
    </row>
    <row s="11160" customFormat="1" customHeight="1" ht="18.75" hidden="1">
      <c r="A267" s="2007"/>
      <c r="B267" s="2007"/>
      <c r="C267" s="596" t="s">
        <v>1147</v>
      </c>
      <c r="D267" s="2689"/>
      <c r="E267" s="2431"/>
      <c r="F267" s="2610"/>
      <c r="G267" s="2654"/>
      <c r="H267" s="1727"/>
      <c r="I267" s="878" t="s">
        <v>1146</v>
      </c>
      <c r="J267" s="798"/>
      <c r="K267" s="1727"/>
      <c r="L267" s="441"/>
      <c r="M267" s="568"/>
      <c r="N267" s="561"/>
      <c r="O267" s="1851"/>
      <c r="P267" s="1851"/>
      <c r="AH267" s="1858">
        <v>0</v>
      </c>
    </row>
    <row s="11160" customFormat="1" customHeight="1" ht="0.75" hidden="1">
      <c r="A268" s="2007"/>
      <c r="B268" s="2007"/>
      <c r="C268" s="596" t="s">
        <v>1156</v>
      </c>
      <c r="D268" s="2689"/>
      <c r="E268" s="2431"/>
      <c r="F268" s="2610"/>
      <c r="G268" s="627"/>
      <c r="H268" s="1727"/>
      <c r="I268" s="878"/>
      <c r="J268" s="798"/>
      <c r="K268" s="1727"/>
      <c r="L268" s="441"/>
      <c r="M268" s="568"/>
      <c r="N268" s="561"/>
      <c r="O268" s="1851"/>
      <c r="P268" s="1851"/>
      <c r="AH268" s="1858">
        <v>0</v>
      </c>
    </row>
    <row s="11160" customFormat="1" customHeight="1" ht="18.75" hidden="1">
      <c r="A269" s="2007" t="s">
        <v>267</v>
      </c>
      <c r="B269" s="2007" t="s">
        <v>268</v>
      </c>
      <c r="C269" s="596"/>
      <c r="D269" s="2689"/>
      <c r="E269" s="2431"/>
      <c r="F269" s="2610" t="str">
        <f>INDEX(PT_DIFFERENTIATION_VTAR,MATCH(A269,PT_DIFFERENTIATION_VTAR_ID,0))</f>
        <v>Тариф на водоотведение</v>
      </c>
      <c r="G269" s="2654" t="str">
        <f>INDEX(PT_DIFFERENTIATION_NTAR,MATCH(B269,PT_DIFFERENTIATION_NTAR_ID,0))</f>
        <v/>
      </c>
      <c r="H269" s="2089"/>
      <c r="I269" s="1966"/>
      <c r="J269" s="2000"/>
      <c r="K269" s="2005"/>
      <c r="L269" s="2089" t="s">
        <v>308</v>
      </c>
      <c r="M269" s="568"/>
      <c r="N269" s="561"/>
      <c r="O269" s="1851"/>
      <c r="P269" s="1851"/>
      <c r="AH269" s="1858">
        <v>0</v>
      </c>
    </row>
    <row s="11160" customFormat="1" customHeight="1" ht="18.75" hidden="1">
      <c r="A270" s="2007"/>
      <c r="B270" s="2007"/>
      <c r="C270" s="596" t="s">
        <v>1147</v>
      </c>
      <c r="D270" s="2689"/>
      <c r="E270" s="2431"/>
      <c r="F270" s="2610"/>
      <c r="G270" s="2654"/>
      <c r="H270" s="1727"/>
      <c r="I270" s="878" t="s">
        <v>1146</v>
      </c>
      <c r="J270" s="798"/>
      <c r="K270" s="1727"/>
      <c r="L270" s="441"/>
      <c r="M270" s="568"/>
      <c r="N270" s="561"/>
      <c r="O270" s="1851"/>
      <c r="P270" s="1851"/>
      <c r="AH270" s="1858">
        <v>0</v>
      </c>
    </row>
    <row s="11160" customFormat="1" customHeight="1" ht="0.75" hidden="1">
      <c r="A271" s="2007"/>
      <c r="B271" s="2007"/>
      <c r="C271" s="596" t="s">
        <v>1156</v>
      </c>
      <c r="D271" s="2689"/>
      <c r="E271" s="2431"/>
      <c r="F271" s="2610"/>
      <c r="G271" s="627"/>
      <c r="H271" s="1727"/>
      <c r="I271" s="878"/>
      <c r="J271" s="798"/>
      <c r="K271" s="1727"/>
      <c r="L271" s="441"/>
      <c r="M271" s="568"/>
      <c r="N271" s="561"/>
      <c r="O271" s="1851"/>
      <c r="P271" s="1851"/>
      <c r="AH271" s="1858">
        <v>0</v>
      </c>
    </row>
    <row s="11160" customFormat="1" customHeight="1" ht="18.75" hidden="1">
      <c r="A272" s="2007" t="s">
        <v>272</v>
      </c>
      <c r="B272" s="2007" t="s">
        <v>273</v>
      </c>
      <c r="C272" s="596"/>
      <c r="D272" s="2689"/>
      <c r="E272" s="2431"/>
      <c r="F272" s="2610" t="str">
        <f>INDEX(PT_DIFFERENTIATION_VTAR,MATCH(A272,PT_DIFFERENTIATION_VTAR_ID,0))</f>
        <v>Тариф на транспортировку сточных вод</v>
      </c>
      <c r="G272" s="2654" t="str">
        <f>INDEX(PT_DIFFERENTIATION_NTAR,MATCH(B272,PT_DIFFERENTIATION_NTAR_ID,0))</f>
        <v/>
      </c>
      <c r="H272" s="2089"/>
      <c r="I272" s="1966"/>
      <c r="J272" s="2000"/>
      <c r="K272" s="2005"/>
      <c r="L272" s="2089" t="s">
        <v>308</v>
      </c>
      <c r="M272" s="568"/>
      <c r="N272" s="561"/>
      <c r="O272" s="1851"/>
      <c r="P272" s="1851"/>
      <c r="AH272" s="1858">
        <v>0</v>
      </c>
    </row>
    <row s="11160" customFormat="1" customHeight="1" ht="18.75" hidden="1">
      <c r="A273" s="2007"/>
      <c r="B273" s="2007"/>
      <c r="C273" s="596" t="s">
        <v>1147</v>
      </c>
      <c r="D273" s="2689"/>
      <c r="E273" s="2431"/>
      <c r="F273" s="2610"/>
      <c r="G273" s="2654"/>
      <c r="H273" s="1727"/>
      <c r="I273" s="878" t="s">
        <v>1146</v>
      </c>
      <c r="J273" s="798"/>
      <c r="K273" s="1727"/>
      <c r="L273" s="441"/>
      <c r="M273" s="568"/>
      <c r="N273" s="561"/>
      <c r="O273" s="1851"/>
      <c r="P273" s="1851"/>
      <c r="AH273" s="1858">
        <v>0</v>
      </c>
    </row>
    <row s="11160" customFormat="1" customHeight="1" ht="0.75" hidden="1">
      <c r="A274" s="2007"/>
      <c r="B274" s="2007"/>
      <c r="C274" s="596" t="s">
        <v>1156</v>
      </c>
      <c r="D274" s="2689"/>
      <c r="E274" s="2431"/>
      <c r="F274" s="2610"/>
      <c r="G274" s="627"/>
      <c r="H274" s="1727"/>
      <c r="I274" s="878"/>
      <c r="J274" s="798"/>
      <c r="K274" s="1727"/>
      <c r="L274" s="441"/>
      <c r="M274" s="568"/>
      <c r="N274" s="561"/>
      <c r="O274" s="1851"/>
      <c r="P274" s="1851"/>
      <c r="AH274" s="1858">
        <v>0</v>
      </c>
    </row>
    <row s="11160" customFormat="1" customHeight="1" ht="18.75" hidden="1">
      <c r="A275" s="2007" t="s">
        <v>277</v>
      </c>
      <c r="B275" s="2007" t="s">
        <v>278</v>
      </c>
      <c r="C275" s="596"/>
      <c r="D275" s="2689"/>
      <c r="E275" s="2431"/>
      <c r="F275" s="2610" t="str">
        <f>INDEX(PT_DIFFERENTIATION_VTAR,MATCH(A275,PT_DIFFERENTIATION_VTAR_ID,0))</f>
        <v>Тариф на подключение (технологическое присоединение) к централизованной системе водоотведения</v>
      </c>
      <c r="G275" s="2654" t="str">
        <f>INDEX(PT_DIFFERENTIATION_NTAR,MATCH(B275,PT_DIFFERENTIATION_NTAR_ID,0))</f>
        <v/>
      </c>
      <c r="H275" s="2089"/>
      <c r="I275" s="1966"/>
      <c r="J275" s="2000"/>
      <c r="K275" s="2005"/>
      <c r="L275" s="2089" t="s">
        <v>308</v>
      </c>
      <c r="M275" s="568"/>
      <c r="N275" s="561"/>
      <c r="O275" s="1851"/>
      <c r="P275" s="1851"/>
      <c r="AH275" s="1858">
        <v>0</v>
      </c>
    </row>
    <row s="11160" customFormat="1" customHeight="1" ht="18.75" hidden="1">
      <c r="A276" s="2007"/>
      <c r="B276" s="2007"/>
      <c r="C276" s="596" t="s">
        <v>1147</v>
      </c>
      <c r="D276" s="2689"/>
      <c r="E276" s="2431"/>
      <c r="F276" s="2610"/>
      <c r="G276" s="2654"/>
      <c r="H276" s="1727"/>
      <c r="I276" s="878" t="s">
        <v>1146</v>
      </c>
      <c r="J276" s="798"/>
      <c r="K276" s="1727"/>
      <c r="L276" s="441"/>
      <c r="M276" s="568"/>
      <c r="N276" s="561"/>
      <c r="O276" s="1851"/>
      <c r="P276" s="1851"/>
      <c r="AH276" s="1858">
        <v>0</v>
      </c>
    </row>
    <row s="11160" customFormat="1" customHeight="1" ht="1.05">
      <c r="A277" s="2007"/>
      <c r="B277" s="2007"/>
      <c r="C277" s="596" t="s">
        <v>1156</v>
      </c>
      <c r="D277" s="2689"/>
      <c r="E277" s="2431"/>
      <c r="F277" s="2610"/>
      <c r="G277" s="627"/>
      <c r="H277" s="1727"/>
      <c r="I277" s="878"/>
      <c r="J277" s="798"/>
      <c r="K277" s="1727"/>
      <c r="L277" s="441"/>
      <c r="M277" s="568"/>
      <c r="N277" s="561"/>
      <c r="O277" s="1851"/>
      <c r="P277" s="1851"/>
      <c r="AH277" s="1858">
        <v>1</v>
      </c>
    </row>
    <row customHeight="1" ht="27.299999999999997">
      <c r="A278" s="2007"/>
      <c r="B278" s="2007"/>
      <c r="D278" s="603"/>
      <c r="E278" s="374" t="s">
        <v>91</v>
      </c>
      <c r="F278"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687"/>
      <c r="H278" s="2687"/>
      <c r="I278" s="2687"/>
      <c r="J278" s="2687"/>
      <c r="K278" s="2687"/>
      <c r="L278" s="2687"/>
      <c r="M278" s="524"/>
      <c r="N278" s="561"/>
      <c r="AH278" s="601">
        <v>26</v>
      </c>
    </row>
    <row s="11160" customFormat="1" customHeight="1" ht="60.75" hidden="1">
      <c r="A279" s="2007" t="s">
        <v>154</v>
      </c>
      <c r="B279" s="2007" t="s">
        <v>155</v>
      </c>
      <c r="C279" s="596"/>
      <c r="D279" s="2689"/>
      <c r="E279" s="2431"/>
      <c r="F279" s="2610"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654" t="str">
        <f>INDEX(PT_DIFFERENTIATION_NTAR,MATCH(B279,PT_DIFFERENTIATION_NTAR_ID,0))</f>
        <v/>
      </c>
      <c r="H279" s="2089"/>
      <c r="I279" s="1966"/>
      <c r="J279" s="2000"/>
      <c r="K279" s="2005"/>
      <c r="L279" s="2089" t="s">
        <v>308</v>
      </c>
      <c r="M27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561"/>
      <c r="O279" s="1851"/>
      <c r="P279" s="1851"/>
      <c r="AH279" s="1858">
        <v>0</v>
      </c>
    </row>
    <row s="11160" customFormat="1" customHeight="1" ht="18.75" hidden="1">
      <c r="A280" s="2007"/>
      <c r="B280" s="2007"/>
      <c r="C280" s="596" t="s">
        <v>1147</v>
      </c>
      <c r="D280" s="2689"/>
      <c r="E280" s="2431"/>
      <c r="F280" s="2610"/>
      <c r="G280" s="2654"/>
      <c r="H280" s="1727"/>
      <c r="I280" s="878" t="s">
        <v>1146</v>
      </c>
      <c r="J280" s="798"/>
      <c r="K280" s="1727"/>
      <c r="L280" s="441"/>
      <c r="M280" s="2397"/>
      <c r="N280" s="561"/>
      <c r="O280" s="1851"/>
      <c r="P280" s="1851"/>
      <c r="AH280" s="1858">
        <v>0</v>
      </c>
    </row>
    <row s="11160" customFormat="1" customHeight="1" ht="0.75" hidden="1">
      <c r="A281" s="2007"/>
      <c r="B281" s="2007"/>
      <c r="C281" s="596" t="s">
        <v>1156</v>
      </c>
      <c r="D281" s="2689"/>
      <c r="E281" s="2431"/>
      <c r="F281" s="2610"/>
      <c r="G281" s="627"/>
      <c r="H281" s="1727"/>
      <c r="I281" s="878"/>
      <c r="J281" s="798"/>
      <c r="K281" s="1727"/>
      <c r="L281" s="441"/>
      <c r="M281" s="2397"/>
      <c r="N281" s="561"/>
      <c r="O281" s="1851"/>
      <c r="P281" s="1851"/>
      <c r="AH281" s="1858">
        <v>0</v>
      </c>
    </row>
    <row s="11160" customFormat="1" customHeight="1" ht="45" hidden="1">
      <c r="A282" s="2007" t="s">
        <v>159</v>
      </c>
      <c r="B282" s="2007" t="s">
        <v>160</v>
      </c>
      <c r="C282" s="596"/>
      <c r="D282" s="2689"/>
      <c r="E282" s="2431"/>
      <c r="F282" s="2610" t="str">
        <f>INDEX(PT_DIFFERENTIATION_VTAR,MATCH(A282,PT_DIFFERENTIATION_VTAR_ID,0))</f>
        <v/>
      </c>
      <c r="G282" s="2654" t="str">
        <f>INDEX(PT_DIFFERENTIATION_NTAR,MATCH(B282,PT_DIFFERENTIATION_NTAR_ID,0))</f>
        <v/>
      </c>
      <c r="H282" s="2089"/>
      <c r="I282" s="1966"/>
      <c r="J282" s="2000"/>
      <c r="K282" s="2005"/>
      <c r="L282" s="2089" t="s">
        <v>308</v>
      </c>
      <c r="M282" s="2398"/>
      <c r="N282" s="561"/>
      <c r="O282" s="1851"/>
      <c r="P282" s="1851"/>
      <c r="AH282" s="1858">
        <v>0</v>
      </c>
    </row>
    <row s="11160" customFormat="1" customHeight="1" ht="18.75" hidden="1">
      <c r="A283" s="2007"/>
      <c r="B283" s="2007"/>
      <c r="C283" s="596" t="s">
        <v>1147</v>
      </c>
      <c r="D283" s="2689"/>
      <c r="E283" s="2431"/>
      <c r="F283" s="2610"/>
      <c r="G283" s="2654"/>
      <c r="H283" s="1727"/>
      <c r="I283" s="878" t="s">
        <v>1146</v>
      </c>
      <c r="J283" s="798"/>
      <c r="K283" s="1727"/>
      <c r="L283" s="441"/>
      <c r="M283" s="2088"/>
      <c r="N283" s="561"/>
      <c r="O283" s="1851"/>
      <c r="P283" s="1851"/>
      <c r="AH283" s="1858">
        <v>0</v>
      </c>
    </row>
    <row s="11160" customFormat="1" customHeight="1" ht="0.75" hidden="1">
      <c r="A284" s="2007"/>
      <c r="B284" s="2007"/>
      <c r="C284" s="596" t="s">
        <v>1156</v>
      </c>
      <c r="D284" s="2689"/>
      <c r="E284" s="2431"/>
      <c r="F284" s="2610"/>
      <c r="G284" s="627"/>
      <c r="H284" s="1727"/>
      <c r="I284" s="878"/>
      <c r="J284" s="798"/>
      <c r="K284" s="1727"/>
      <c r="L284" s="441"/>
      <c r="M284" s="568"/>
      <c r="N284" s="561"/>
      <c r="O284" s="1851"/>
      <c r="P284" s="1851"/>
      <c r="AH284" s="1858">
        <v>0</v>
      </c>
    </row>
    <row s="11160" customFormat="1" customHeight="1" ht="45" hidden="1">
      <c r="A285" s="2007" t="s">
        <v>166</v>
      </c>
      <c r="B285" s="2007" t="s">
        <v>167</v>
      </c>
      <c r="C285" s="596"/>
      <c r="D285" s="2689"/>
      <c r="E285" s="2431"/>
      <c r="F285" s="2610"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654" t="str">
        <f>INDEX(PT_DIFFERENTIATION_NTAR,MATCH(B285,PT_DIFFERENTIATION_NTAR_ID,0))</f>
        <v/>
      </c>
      <c r="H285" s="2089"/>
      <c r="I285" s="1966"/>
      <c r="J285" s="2000"/>
      <c r="K285" s="2005"/>
      <c r="L285" s="2089" t="s">
        <v>308</v>
      </c>
      <c r="M285" s="568"/>
      <c r="N285" s="561"/>
      <c r="O285" s="1851"/>
      <c r="P285" s="1851"/>
      <c r="AH285" s="1858">
        <v>0</v>
      </c>
    </row>
    <row s="11160" customFormat="1" customHeight="1" ht="18.75" hidden="1">
      <c r="A286" s="2007"/>
      <c r="B286" s="2007"/>
      <c r="C286" s="596" t="s">
        <v>1147</v>
      </c>
      <c r="D286" s="2689"/>
      <c r="E286" s="2431"/>
      <c r="F286" s="2610"/>
      <c r="G286" s="2654"/>
      <c r="H286" s="1727"/>
      <c r="I286" s="878" t="s">
        <v>1146</v>
      </c>
      <c r="J286" s="798"/>
      <c r="K286" s="1727"/>
      <c r="L286" s="441"/>
      <c r="M286" s="568"/>
      <c r="N286" s="561"/>
      <c r="O286" s="1851"/>
      <c r="P286" s="1851"/>
      <c r="AH286" s="1858">
        <v>0</v>
      </c>
    </row>
    <row s="11160" customFormat="1" customHeight="1" ht="0.75" hidden="1">
      <c r="A287" s="2007"/>
      <c r="B287" s="2007"/>
      <c r="C287" s="596" t="s">
        <v>1156</v>
      </c>
      <c r="D287" s="2689"/>
      <c r="E287" s="2431"/>
      <c r="F287" s="2610"/>
      <c r="G287" s="627"/>
      <c r="H287" s="1727"/>
      <c r="I287" s="878"/>
      <c r="J287" s="798"/>
      <c r="K287" s="1727"/>
      <c r="L287" s="441"/>
      <c r="M287" s="568"/>
      <c r="N287" s="561"/>
      <c r="O287" s="1851"/>
      <c r="P287" s="1851"/>
      <c r="AH287" s="1858">
        <v>0</v>
      </c>
    </row>
    <row s="11160" customFormat="1" customHeight="1" ht="45" hidden="1">
      <c r="A288" s="2007" t="s">
        <v>172</v>
      </c>
      <c r="B288" s="2007" t="s">
        <v>173</v>
      </c>
      <c r="C288" s="596"/>
      <c r="D288" s="2689"/>
      <c r="E288" s="2431"/>
      <c r="F288" s="2610"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654" t="str">
        <f>INDEX(PT_DIFFERENTIATION_NTAR,MATCH(B288,PT_DIFFERENTIATION_NTAR_ID,0))</f>
        <v/>
      </c>
      <c r="H288" s="2089"/>
      <c r="I288" s="1966"/>
      <c r="J288" s="2000"/>
      <c r="K288" s="2005"/>
      <c r="L288" s="2089" t="s">
        <v>308</v>
      </c>
      <c r="M288" s="568"/>
      <c r="N288" s="561"/>
      <c r="O288" s="1851"/>
      <c r="P288" s="1851"/>
      <c r="AH288" s="1858">
        <v>0</v>
      </c>
    </row>
    <row s="11160" customFormat="1" customHeight="1" ht="18.75" hidden="1">
      <c r="A289" s="2007"/>
      <c r="B289" s="2007"/>
      <c r="C289" s="596" t="s">
        <v>1147</v>
      </c>
      <c r="D289" s="2689"/>
      <c r="E289" s="2431"/>
      <c r="F289" s="2610"/>
      <c r="G289" s="2654"/>
      <c r="H289" s="1727"/>
      <c r="I289" s="878" t="s">
        <v>1146</v>
      </c>
      <c r="J289" s="798"/>
      <c r="K289" s="1727"/>
      <c r="L289" s="441"/>
      <c r="M289" s="568"/>
      <c r="N289" s="561"/>
      <c r="O289" s="1851"/>
      <c r="P289" s="1851"/>
      <c r="AH289" s="1858">
        <v>0</v>
      </c>
    </row>
    <row s="11160" customFormat="1" customHeight="1" ht="0.75" hidden="1">
      <c r="A290" s="2007"/>
      <c r="B290" s="2007"/>
      <c r="C290" s="596" t="s">
        <v>1156</v>
      </c>
      <c r="D290" s="2689"/>
      <c r="E290" s="2431"/>
      <c r="F290" s="2610"/>
      <c r="G290" s="627"/>
      <c r="H290" s="1727"/>
      <c r="I290" s="878"/>
      <c r="J290" s="798"/>
      <c r="K290" s="1727"/>
      <c r="L290" s="441"/>
      <c r="M290" s="568"/>
      <c r="N290" s="561"/>
      <c r="O290" s="1851"/>
      <c r="P290" s="1851"/>
      <c r="AH290" s="1858">
        <v>0</v>
      </c>
    </row>
    <row s="11160" customFormat="1" customHeight="1" ht="18.75" hidden="1">
      <c r="A291" s="2007" t="s">
        <v>178</v>
      </c>
      <c r="B291" s="2007" t="s">
        <v>179</v>
      </c>
      <c r="C291" s="596"/>
      <c r="D291" s="2689"/>
      <c r="E291" s="2431"/>
      <c r="F291" s="2610" t="str">
        <f>INDEX(PT_DIFFERENTIATION_VTAR,MATCH(A291,PT_DIFFERENTIATION_VTAR_ID,0))</f>
        <v>Тарифы на услуги по передаче тепловой энергии</v>
      </c>
      <c r="G291" s="2654" t="str">
        <f>INDEX(PT_DIFFERENTIATION_NTAR,MATCH(B291,PT_DIFFERENTIATION_NTAR_ID,0))</f>
        <v/>
      </c>
      <c r="H291" s="2089"/>
      <c r="I291" s="1966"/>
      <c r="J291" s="2000"/>
      <c r="K291" s="2005"/>
      <c r="L291" s="2089" t="s">
        <v>308</v>
      </c>
      <c r="M291" s="568"/>
      <c r="N291" s="561"/>
      <c r="O291" s="1851"/>
      <c r="P291" s="1851"/>
      <c r="AH291" s="1858">
        <v>0</v>
      </c>
    </row>
    <row s="11160" customFormat="1" customHeight="1" ht="18.75" hidden="1">
      <c r="A292" s="2007"/>
      <c r="B292" s="2007"/>
      <c r="C292" s="596" t="s">
        <v>1147</v>
      </c>
      <c r="D292" s="2689"/>
      <c r="E292" s="2431"/>
      <c r="F292" s="2610"/>
      <c r="G292" s="2654"/>
      <c r="H292" s="1727"/>
      <c r="I292" s="878" t="s">
        <v>1146</v>
      </c>
      <c r="J292" s="798"/>
      <c r="K292" s="1727"/>
      <c r="L292" s="441"/>
      <c r="M292" s="568"/>
      <c r="N292" s="561"/>
      <c r="O292" s="1851"/>
      <c r="P292" s="1851"/>
      <c r="AH292" s="1858">
        <v>0</v>
      </c>
    </row>
    <row s="11160" customFormat="1" customHeight="1" ht="0.75" hidden="1">
      <c r="A293" s="2007"/>
      <c r="B293" s="2007"/>
      <c r="C293" s="596" t="s">
        <v>1156</v>
      </c>
      <c r="D293" s="2689"/>
      <c r="E293" s="2431"/>
      <c r="F293" s="2610"/>
      <c r="G293" s="627"/>
      <c r="H293" s="1727"/>
      <c r="I293" s="878"/>
      <c r="J293" s="798"/>
      <c r="K293" s="1727"/>
      <c r="L293" s="441"/>
      <c r="M293" s="568"/>
      <c r="N293" s="561"/>
      <c r="O293" s="1851"/>
      <c r="P293" s="1851"/>
      <c r="AH293" s="1858">
        <v>0</v>
      </c>
    </row>
    <row s="11160" customFormat="1" customHeight="1" ht="18.75" hidden="1">
      <c r="A294" s="2007" t="s">
        <v>184</v>
      </c>
      <c r="B294" s="2007" t="s">
        <v>185</v>
      </c>
      <c r="C294" s="596"/>
      <c r="D294" s="2689"/>
      <c r="E294" s="2431"/>
      <c r="F294" s="2610" t="str">
        <f>INDEX(PT_DIFFERENTIATION_VTAR,MATCH(A294,PT_DIFFERENTIATION_VTAR_ID,0))</f>
        <v>Тарифы на услуги по передаче теплоносителя</v>
      </c>
      <c r="G294" s="2654" t="str">
        <f>INDEX(PT_DIFFERENTIATION_NTAR,MATCH(B294,PT_DIFFERENTIATION_NTAR_ID,0))</f>
        <v/>
      </c>
      <c r="H294" s="2089"/>
      <c r="I294" s="1966"/>
      <c r="J294" s="2000"/>
      <c r="K294" s="2005"/>
      <c r="L294" s="2089" t="s">
        <v>308</v>
      </c>
      <c r="M294" s="568"/>
      <c r="N294" s="561"/>
      <c r="O294" s="1851"/>
      <c r="P294" s="1851"/>
      <c r="AH294" s="1858">
        <v>0</v>
      </c>
    </row>
    <row s="11160" customFormat="1" customHeight="1" ht="18.75" hidden="1">
      <c r="A295" s="2007"/>
      <c r="B295" s="2007"/>
      <c r="C295" s="596" t="s">
        <v>1147</v>
      </c>
      <c r="D295" s="2689"/>
      <c r="E295" s="2431"/>
      <c r="F295" s="2610"/>
      <c r="G295" s="2654"/>
      <c r="H295" s="1727"/>
      <c r="I295" s="878" t="s">
        <v>1146</v>
      </c>
      <c r="J295" s="798"/>
      <c r="K295" s="1727"/>
      <c r="L295" s="441"/>
      <c r="M295" s="568"/>
      <c r="N295" s="561"/>
      <c r="O295" s="1851"/>
      <c r="P295" s="1851"/>
      <c r="AH295" s="1858">
        <v>0</v>
      </c>
    </row>
    <row s="11160" customFormat="1" customHeight="1" ht="0.75" hidden="1">
      <c r="A296" s="2007"/>
      <c r="B296" s="2007"/>
      <c r="C296" s="596" t="s">
        <v>1156</v>
      </c>
      <c r="D296" s="2689"/>
      <c r="E296" s="2431"/>
      <c r="F296" s="2610"/>
      <c r="G296" s="627"/>
      <c r="H296" s="1727"/>
      <c r="I296" s="878"/>
      <c r="J296" s="798"/>
      <c r="K296" s="1727"/>
      <c r="L296" s="441"/>
      <c r="M296" s="568"/>
      <c r="N296" s="561"/>
      <c r="O296" s="1851"/>
      <c r="P296" s="1851"/>
      <c r="AH296" s="1858">
        <v>0</v>
      </c>
    </row>
    <row s="11160" customFormat="1" customHeight="1" ht="18.75" hidden="1">
      <c r="A297" s="2007" t="s">
        <v>190</v>
      </c>
      <c r="B297" s="2007" t="s">
        <v>191</v>
      </c>
      <c r="C297" s="596"/>
      <c r="D297" s="2689"/>
      <c r="E297" s="2431"/>
      <c r="F297" s="2610"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654" t="str">
        <f>INDEX(PT_DIFFERENTIATION_NTAR,MATCH(B297,PT_DIFFERENTIATION_NTAR_ID,0))</f>
        <v/>
      </c>
      <c r="H297" s="2089"/>
      <c r="I297" s="1966"/>
      <c r="J297" s="2000"/>
      <c r="K297" s="2005"/>
      <c r="L297" s="2089" t="s">
        <v>308</v>
      </c>
      <c r="M297" s="568"/>
      <c r="N297" s="561"/>
      <c r="O297" s="1851"/>
      <c r="P297" s="1851"/>
      <c r="AH297" s="1858">
        <v>0</v>
      </c>
    </row>
    <row s="11160" customFormat="1" customHeight="1" ht="18.75" hidden="1">
      <c r="A298" s="2007"/>
      <c r="B298" s="2007"/>
      <c r="C298" s="596" t="s">
        <v>1147</v>
      </c>
      <c r="D298" s="2689"/>
      <c r="E298" s="2431"/>
      <c r="F298" s="2610"/>
      <c r="G298" s="2654"/>
      <c r="H298" s="1727"/>
      <c r="I298" s="878" t="s">
        <v>1146</v>
      </c>
      <c r="J298" s="798"/>
      <c r="K298" s="1727"/>
      <c r="L298" s="441"/>
      <c r="M298" s="568"/>
      <c r="N298" s="561"/>
      <c r="O298" s="1851"/>
      <c r="P298" s="1851"/>
      <c r="AH298" s="1858">
        <v>0</v>
      </c>
    </row>
    <row s="11160" customFormat="1" customHeight="1" ht="0.75" hidden="1">
      <c r="A299" s="2007"/>
      <c r="B299" s="2007"/>
      <c r="C299" s="596" t="s">
        <v>1156</v>
      </c>
      <c r="D299" s="2689"/>
      <c r="E299" s="2431"/>
      <c r="F299" s="2610"/>
      <c r="G299" s="627"/>
      <c r="H299" s="1727"/>
      <c r="I299" s="878"/>
      <c r="J299" s="798"/>
      <c r="K299" s="1727"/>
      <c r="L299" s="441"/>
      <c r="M299" s="568"/>
      <c r="N299" s="561"/>
      <c r="O299" s="1851"/>
      <c r="P299" s="1851"/>
      <c r="AH299" s="1858">
        <v>0</v>
      </c>
    </row>
    <row s="11160" customFormat="1" customHeight="1" ht="18.75" hidden="1">
      <c r="A300" s="2007" t="s">
        <v>196</v>
      </c>
      <c r="B300" s="2007" t="s">
        <v>197</v>
      </c>
      <c r="C300" s="596"/>
      <c r="D300" s="2689"/>
      <c r="E300" s="2431"/>
      <c r="F300" s="2610" t="str">
        <f>INDEX(PT_DIFFERENTIATION_VTAR,MATCH(A300,PT_DIFFERENTIATION_VTAR_ID,0))</f>
        <v>Плата за подключение (технологическое присоединение) к системе теплоснабжения</v>
      </c>
      <c r="G300" s="2654" t="str">
        <f>INDEX(PT_DIFFERENTIATION_NTAR,MATCH(B300,PT_DIFFERENTIATION_NTAR_ID,0))</f>
        <v/>
      </c>
      <c r="H300" s="2089"/>
      <c r="I300" s="1966"/>
      <c r="J300" s="2000"/>
      <c r="K300" s="2005"/>
      <c r="L300" s="2089" t="s">
        <v>308</v>
      </c>
      <c r="M300" s="568"/>
      <c r="N300" s="561"/>
      <c r="O300" s="1851"/>
      <c r="P300" s="1851"/>
      <c r="AH300" s="1858">
        <v>0</v>
      </c>
    </row>
    <row s="11160" customFormat="1" customHeight="1" ht="18.75" hidden="1">
      <c r="A301" s="2007"/>
      <c r="B301" s="2007"/>
      <c r="C301" s="596" t="s">
        <v>1147</v>
      </c>
      <c r="D301" s="2689"/>
      <c r="E301" s="2431"/>
      <c r="F301" s="2610"/>
      <c r="G301" s="2654"/>
      <c r="H301" s="1727"/>
      <c r="I301" s="878" t="s">
        <v>1146</v>
      </c>
      <c r="J301" s="798"/>
      <c r="K301" s="1727"/>
      <c r="L301" s="441"/>
      <c r="M301" s="568"/>
      <c r="N301" s="561"/>
      <c r="O301" s="1851"/>
      <c r="P301" s="1851"/>
      <c r="AH301" s="1858">
        <v>0</v>
      </c>
    </row>
    <row s="11160" customFormat="1" customHeight="1" ht="0.75" hidden="1">
      <c r="A302" s="2007"/>
      <c r="B302" s="2007"/>
      <c r="C302" s="596" t="s">
        <v>1156</v>
      </c>
      <c r="D302" s="2689"/>
      <c r="E302" s="2431"/>
      <c r="F302" s="2610"/>
      <c r="G302" s="627"/>
      <c r="H302" s="1727"/>
      <c r="I302" s="878"/>
      <c r="J302" s="798"/>
      <c r="K302" s="1727"/>
      <c r="L302" s="441"/>
      <c r="M302" s="568"/>
      <c r="N302" s="561"/>
      <c r="O302" s="1851"/>
      <c r="P302" s="1851"/>
      <c r="AH302" s="1858">
        <v>0</v>
      </c>
    </row>
    <row s="11160" customFormat="1" customHeight="1" ht="18.75" hidden="1">
      <c r="A303" s="2007" t="s">
        <v>202</v>
      </c>
      <c r="B303" s="2007" t="s">
        <v>203</v>
      </c>
      <c r="C303" s="596"/>
      <c r="D303" s="2689"/>
      <c r="E303" s="2431"/>
      <c r="F303" s="2610" t="str">
        <f>INDEX(PT_DIFFERENTIATION_VTAR,MATCH(A303,PT_DIFFERENTIATION_VTAR_ID,0))</f>
        <v>Плата за подключение (технологическое присоединение) к системе теплоснабжения (индивидуальная)</v>
      </c>
      <c r="G303" s="2654" t="str">
        <f>INDEX(PT_DIFFERENTIATION_NTAR,MATCH(B303,PT_DIFFERENTIATION_NTAR_ID,0))</f>
        <v/>
      </c>
      <c r="H303" s="2216"/>
      <c r="I303" s="1966"/>
      <c r="J303" s="2000"/>
      <c r="K303" s="2005"/>
      <c r="L303" s="2216" t="s">
        <v>308</v>
      </c>
      <c r="M303" s="568"/>
      <c r="N303" s="561"/>
      <c r="O303" s="1851"/>
      <c r="P303" s="1851"/>
      <c r="AH303" s="1858">
        <v>0</v>
      </c>
    </row>
    <row s="11160" customFormat="1" customHeight="1" ht="18.75" hidden="1">
      <c r="A304" s="2007"/>
      <c r="B304" s="2007"/>
      <c r="C304" s="596" t="s">
        <v>1147</v>
      </c>
      <c r="D304" s="2689"/>
      <c r="E304" s="2431"/>
      <c r="F304" s="2610"/>
      <c r="G304" s="2654"/>
      <c r="H304" s="1727"/>
      <c r="I304" s="878" t="s">
        <v>1146</v>
      </c>
      <c r="J304" s="798"/>
      <c r="K304" s="1727"/>
      <c r="L304" s="441"/>
      <c r="M304" s="568"/>
      <c r="N304" s="561"/>
      <c r="O304" s="1851"/>
      <c r="P304" s="1851"/>
      <c r="AH304" s="1858">
        <v>0</v>
      </c>
    </row>
    <row s="11160" customFormat="1" customHeight="1" ht="0.75" hidden="1">
      <c r="A305" s="2007"/>
      <c r="B305" s="2007"/>
      <c r="C305" s="596" t="s">
        <v>1156</v>
      </c>
      <c r="D305" s="2689"/>
      <c r="E305" s="2431"/>
      <c r="F305" s="2610"/>
      <c r="G305" s="627"/>
      <c r="H305" s="1727"/>
      <c r="I305" s="878"/>
      <c r="J305" s="798"/>
      <c r="K305" s="1727"/>
      <c r="L305" s="441"/>
      <c r="M305" s="568"/>
      <c r="N305" s="561"/>
      <c r="O305" s="1851"/>
      <c r="P305" s="1851"/>
      <c r="AH305" s="1858">
        <v>0</v>
      </c>
    </row>
    <row s="11160" customFormat="1" customHeight="1" ht="18.75" hidden="1">
      <c r="A306" s="2007" t="s">
        <v>222</v>
      </c>
      <c r="B306" s="2007" t="s">
        <v>223</v>
      </c>
      <c r="C306" s="596"/>
      <c r="D306" s="2689"/>
      <c r="E306" s="2431"/>
      <c r="F306" s="2610" t="str">
        <f>INDEX(PT_DIFFERENTIATION_VTAR,MATCH(A306,PT_DIFFERENTIATION_VTAR_ID,0))</f>
        <v>Тариф на питьевую воду (питьевое водоснабжение)</v>
      </c>
      <c r="G306" s="2654" t="str">
        <f>INDEX(PT_DIFFERENTIATION_NTAR,MATCH(B306,PT_DIFFERENTIATION_NTAR_ID,0))</f>
        <v/>
      </c>
      <c r="H306" s="2089"/>
      <c r="I306" s="1966"/>
      <c r="J306" s="2000"/>
      <c r="K306" s="2005"/>
      <c r="L306" s="2089" t="s">
        <v>308</v>
      </c>
      <c r="M306" s="568"/>
      <c r="N306" s="561"/>
      <c r="O306" s="1851"/>
      <c r="P306" s="1851"/>
      <c r="AH306" s="1858">
        <v>0</v>
      </c>
    </row>
    <row s="11160" customFormat="1" customHeight="1" ht="18.75" hidden="1">
      <c r="A307" s="2007"/>
      <c r="B307" s="2007"/>
      <c r="C307" s="596" t="s">
        <v>1147</v>
      </c>
      <c r="D307" s="2689"/>
      <c r="E307" s="2431"/>
      <c r="F307" s="2610"/>
      <c r="G307" s="2654"/>
      <c r="H307" s="1727"/>
      <c r="I307" s="878" t="s">
        <v>1146</v>
      </c>
      <c r="J307" s="798"/>
      <c r="K307" s="1727"/>
      <c r="L307" s="441"/>
      <c r="M307" s="568"/>
      <c r="N307" s="561"/>
      <c r="O307" s="1851"/>
      <c r="P307" s="1851"/>
      <c r="AH307" s="1858">
        <v>0</v>
      </c>
    </row>
    <row s="11160" customFormat="1" customHeight="1" ht="0.75" hidden="1">
      <c r="A308" s="2007"/>
      <c r="B308" s="2007"/>
      <c r="C308" s="596" t="s">
        <v>1156</v>
      </c>
      <c r="D308" s="2689"/>
      <c r="E308" s="2431"/>
      <c r="F308" s="2610"/>
      <c r="G308" s="627"/>
      <c r="H308" s="1727"/>
      <c r="I308" s="878"/>
      <c r="J308" s="798"/>
      <c r="K308" s="1727"/>
      <c r="L308" s="441"/>
      <c r="M308" s="568"/>
      <c r="N308" s="561"/>
      <c r="O308" s="1851"/>
      <c r="P308" s="1851"/>
      <c r="AH308" s="1858">
        <v>0</v>
      </c>
    </row>
    <row s="11160" customFormat="1" customHeight="1" ht="18.75" hidden="1">
      <c r="A309" s="2007" t="s">
        <v>227</v>
      </c>
      <c r="B309" s="2007" t="s">
        <v>228</v>
      </c>
      <c r="C309" s="596"/>
      <c r="D309" s="2689"/>
      <c r="E309" s="2431"/>
      <c r="F309" s="2610" t="str">
        <f>INDEX(PT_DIFFERENTIATION_VTAR,MATCH(A309,PT_DIFFERENTIATION_VTAR_ID,0))</f>
        <v>Тариф на техническую воду</v>
      </c>
      <c r="G309" s="2654" t="str">
        <f>INDEX(PT_DIFFERENTIATION_NTAR,MATCH(B309,PT_DIFFERENTIATION_NTAR_ID,0))</f>
        <v/>
      </c>
      <c r="H309" s="2089"/>
      <c r="I309" s="1966"/>
      <c r="J309" s="2000"/>
      <c r="K309" s="2005"/>
      <c r="L309" s="2089" t="s">
        <v>308</v>
      </c>
      <c r="M309" s="568"/>
      <c r="N309" s="561"/>
      <c r="O309" s="1851"/>
      <c r="P309" s="1851"/>
      <c r="AH309" s="1858">
        <v>0</v>
      </c>
    </row>
    <row s="11160" customFormat="1" customHeight="1" ht="18.75" hidden="1">
      <c r="A310" s="2007"/>
      <c r="B310" s="2007"/>
      <c r="C310" s="596" t="s">
        <v>1147</v>
      </c>
      <c r="D310" s="2689"/>
      <c r="E310" s="2431"/>
      <c r="F310" s="2610"/>
      <c r="G310" s="2654"/>
      <c r="H310" s="1727"/>
      <c r="I310" s="878" t="s">
        <v>1146</v>
      </c>
      <c r="J310" s="798"/>
      <c r="K310" s="1727"/>
      <c r="L310" s="441"/>
      <c r="M310" s="568"/>
      <c r="N310" s="561"/>
      <c r="O310" s="1851"/>
      <c r="P310" s="1851"/>
      <c r="AH310" s="1858">
        <v>0</v>
      </c>
    </row>
    <row s="11160" customFormat="1" customHeight="1" ht="0.75" hidden="1">
      <c r="A311" s="2007"/>
      <c r="B311" s="2007"/>
      <c r="C311" s="596" t="s">
        <v>1156</v>
      </c>
      <c r="D311" s="2689"/>
      <c r="E311" s="2431"/>
      <c r="F311" s="2610"/>
      <c r="G311" s="627"/>
      <c r="H311" s="1727"/>
      <c r="I311" s="878"/>
      <c r="J311" s="798"/>
      <c r="K311" s="1727"/>
      <c r="L311" s="441"/>
      <c r="M311" s="568"/>
      <c r="N311" s="561"/>
      <c r="O311" s="1851"/>
      <c r="P311" s="1851"/>
      <c r="AH311" s="1858">
        <v>0</v>
      </c>
    </row>
    <row s="11160" customFormat="1" customHeight="1" ht="18.75" hidden="1">
      <c r="A312" s="2007" t="s">
        <v>232</v>
      </c>
      <c r="B312" s="2007" t="s">
        <v>233</v>
      </c>
      <c r="C312" s="596"/>
      <c r="D312" s="2689"/>
      <c r="E312" s="2431"/>
      <c r="F312" s="2610" t="str">
        <f>INDEX(PT_DIFFERENTIATION_VTAR,MATCH(A312,PT_DIFFERENTIATION_VTAR_ID,0))</f>
        <v>Тариф на транспортировку воды</v>
      </c>
      <c r="G312" s="2654" t="str">
        <f>INDEX(PT_DIFFERENTIATION_NTAR,MATCH(B312,PT_DIFFERENTIATION_NTAR_ID,0))</f>
        <v/>
      </c>
      <c r="H312" s="2089"/>
      <c r="I312" s="1966"/>
      <c r="J312" s="2000"/>
      <c r="K312" s="2005"/>
      <c r="L312" s="2089" t="s">
        <v>308</v>
      </c>
      <c r="M312" s="568"/>
      <c r="N312" s="561"/>
      <c r="O312" s="1851"/>
      <c r="P312" s="1851"/>
      <c r="AH312" s="1858">
        <v>0</v>
      </c>
    </row>
    <row s="11160" customFormat="1" customHeight="1" ht="18.75" hidden="1">
      <c r="A313" s="2007"/>
      <c r="B313" s="2007"/>
      <c r="C313" s="596" t="s">
        <v>1147</v>
      </c>
      <c r="D313" s="2689"/>
      <c r="E313" s="2431"/>
      <c r="F313" s="2610"/>
      <c r="G313" s="2654"/>
      <c r="H313" s="1727"/>
      <c r="I313" s="878" t="s">
        <v>1146</v>
      </c>
      <c r="J313" s="798"/>
      <c r="K313" s="1727"/>
      <c r="L313" s="441"/>
      <c r="M313" s="568"/>
      <c r="N313" s="561"/>
      <c r="O313" s="1851"/>
      <c r="P313" s="1851"/>
      <c r="AH313" s="1858">
        <v>0</v>
      </c>
    </row>
    <row s="11160" customFormat="1" customHeight="1" ht="0.75" hidden="1">
      <c r="A314" s="2007"/>
      <c r="B314" s="2007"/>
      <c r="C314" s="596" t="s">
        <v>1156</v>
      </c>
      <c r="D314" s="2689"/>
      <c r="E314" s="2431"/>
      <c r="F314" s="2610"/>
      <c r="G314" s="627"/>
      <c r="H314" s="1727"/>
      <c r="I314" s="878"/>
      <c r="J314" s="798"/>
      <c r="K314" s="1727"/>
      <c r="L314" s="441"/>
      <c r="M314" s="568"/>
      <c r="N314" s="561"/>
      <c r="O314" s="1851"/>
      <c r="P314" s="1851"/>
      <c r="AH314" s="1858">
        <v>0</v>
      </c>
    </row>
    <row s="11160" customFormat="1" customHeight="1" ht="18.75" hidden="1">
      <c r="A315" s="2007" t="s">
        <v>237</v>
      </c>
      <c r="B315" s="2007" t="s">
        <v>238</v>
      </c>
      <c r="C315" s="596"/>
      <c r="D315" s="2689"/>
      <c r="E315" s="2431"/>
      <c r="F315" s="2610" t="str">
        <f>INDEX(PT_DIFFERENTIATION_VTAR,MATCH(A315,PT_DIFFERENTIATION_VTAR_ID,0))</f>
        <v>Тариф на подвоз воды</v>
      </c>
      <c r="G315" s="2654" t="str">
        <f>INDEX(PT_DIFFERENTIATION_NTAR,MATCH(B315,PT_DIFFERENTIATION_NTAR_ID,0))</f>
        <v/>
      </c>
      <c r="H315" s="2089"/>
      <c r="I315" s="1966"/>
      <c r="J315" s="2000"/>
      <c r="K315" s="2005"/>
      <c r="L315" s="2089" t="s">
        <v>308</v>
      </c>
      <c r="M315" s="568"/>
      <c r="N315" s="561"/>
      <c r="O315" s="1851"/>
      <c r="P315" s="1851"/>
      <c r="AH315" s="1858">
        <v>0</v>
      </c>
    </row>
    <row s="11160" customFormat="1" customHeight="1" ht="18.75" hidden="1">
      <c r="A316" s="2007"/>
      <c r="B316" s="2007"/>
      <c r="C316" s="596" t="s">
        <v>1147</v>
      </c>
      <c r="D316" s="2689"/>
      <c r="E316" s="2431"/>
      <c r="F316" s="2610"/>
      <c r="G316" s="2654"/>
      <c r="H316" s="1727"/>
      <c r="I316" s="878" t="s">
        <v>1146</v>
      </c>
      <c r="J316" s="798"/>
      <c r="K316" s="1727"/>
      <c r="L316" s="441"/>
      <c r="M316" s="568"/>
      <c r="N316" s="561"/>
      <c r="O316" s="1851"/>
      <c r="P316" s="1851"/>
      <c r="AH316" s="1858">
        <v>0</v>
      </c>
    </row>
    <row s="11160" customFormat="1" customHeight="1" ht="0.75" hidden="1">
      <c r="A317" s="2007"/>
      <c r="B317" s="2007"/>
      <c r="C317" s="596" t="s">
        <v>1156</v>
      </c>
      <c r="D317" s="2689"/>
      <c r="E317" s="2431"/>
      <c r="F317" s="2610"/>
      <c r="G317" s="627"/>
      <c r="H317" s="1727"/>
      <c r="I317" s="878"/>
      <c r="J317" s="798"/>
      <c r="K317" s="1727"/>
      <c r="L317" s="441"/>
      <c r="M317" s="568"/>
      <c r="N317" s="561"/>
      <c r="O317" s="1851"/>
      <c r="P317" s="1851"/>
      <c r="AH317" s="1858">
        <v>0</v>
      </c>
    </row>
    <row s="11160" customFormat="1" customHeight="1" ht="18.75" hidden="1">
      <c r="A318" s="2007" t="s">
        <v>242</v>
      </c>
      <c r="B318" s="2007" t="s">
        <v>243</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654" t="str">
        <f>INDEX(PT_DIFFERENTIATION_NTAR,MATCH(B318,PT_DIFFERENTIATION_NTAR_ID,0))</f>
        <v/>
      </c>
      <c r="H318" s="2089"/>
      <c r="I318" s="1966"/>
      <c r="J318" s="2000"/>
      <c r="K318" s="2005"/>
      <c r="L318" s="2089" t="s">
        <v>308</v>
      </c>
      <c r="M318" s="568"/>
      <c r="N318" s="561"/>
      <c r="O318" s="1851"/>
      <c r="P318" s="1851"/>
      <c r="AH318" s="1858">
        <v>0</v>
      </c>
    </row>
    <row s="11160" customFormat="1" customHeight="1" ht="18.75" hidden="1">
      <c r="A319" s="2007"/>
      <c r="B319" s="2007"/>
      <c r="C319" s="596" t="s">
        <v>1147</v>
      </c>
      <c r="D319" s="2689"/>
      <c r="E319" s="2431"/>
      <c r="F319" s="2610"/>
      <c r="G319" s="2654"/>
      <c r="H319" s="1727"/>
      <c r="I319" s="878" t="s">
        <v>1146</v>
      </c>
      <c r="J319" s="798"/>
      <c r="K319" s="1727"/>
      <c r="L319" s="441"/>
      <c r="M319" s="568"/>
      <c r="N319" s="561"/>
      <c r="O319" s="1851"/>
      <c r="P319" s="1851"/>
      <c r="AH319" s="1858">
        <v>0</v>
      </c>
    </row>
    <row s="11160" customFormat="1" customHeight="1" ht="0.75" hidden="1">
      <c r="A320" s="2007"/>
      <c r="B320" s="2007"/>
      <c r="C320" s="596" t="s">
        <v>1156</v>
      </c>
      <c r="D320" s="2689"/>
      <c r="E320" s="2431"/>
      <c r="F320" s="2610"/>
      <c r="G320" s="627"/>
      <c r="H320" s="1727"/>
      <c r="I320" s="878"/>
      <c r="J320" s="798"/>
      <c r="K320" s="1727"/>
      <c r="L320" s="441"/>
      <c r="M320" s="568"/>
      <c r="N320" s="561"/>
      <c r="O320" s="1851"/>
      <c r="P320" s="1851"/>
      <c r="AH320" s="1858">
        <v>0</v>
      </c>
    </row>
    <row s="11160" customFormat="1" customHeight="1" ht="18.75">
      <c r="A321" s="2007" t="s">
        <v>249</v>
      </c>
      <c r="B321" s="2007" t="s">
        <v>250</v>
      </c>
      <c r="C321" s="596"/>
      <c r="D321" s="2689"/>
      <c r="E321" s="2431"/>
      <c r="F321" s="2610" t="str">
        <f>INDEX(PT_DIFFERENTIATION_VTAR,MATCH(A321,PT_DIFFERENTIATION_VTAR_ID,0))</f>
        <v>Тариф на горячую воду (горячее водоснабжение)</v>
      </c>
      <c r="G321" s="2654" t="str">
        <f>INDEX(PT_DIFFERENTIATION_NTAR,MATCH(B321,PT_DIFFERENTIATION_NTAR_ID,0))</f>
        <v>тариф на горячую воду</v>
      </c>
      <c r="H321" s="2089"/>
      <c r="I321" s="10335">
        <v>45839</v>
      </c>
      <c r="J321" s="10336">
        <v>47118</v>
      </c>
      <c r="K321" s="2005">
        <v>0</v>
      </c>
      <c r="L321" s="2089" t="s">
        <v>308</v>
      </c>
      <c r="M321" s="568"/>
      <c r="N321" s="561"/>
      <c r="O321" s="1851"/>
      <c r="P321" s="1851"/>
      <c r="AH321" s="1858">
        <v>0</v>
      </c>
    </row>
    <row s="11160" customFormat="1" customHeight="1" ht="18.75">
      <c r="A322" s="2007"/>
      <c r="B322" s="2007"/>
      <c r="C322" s="596" t="s">
        <v>1147</v>
      </c>
      <c r="D322" s="2689"/>
      <c r="E322" s="2431"/>
      <c r="F322" s="2610"/>
      <c r="G322" s="2654"/>
      <c r="H322" s="1727"/>
      <c r="I322" s="878" t="s">
        <v>1146</v>
      </c>
      <c r="J322" s="798"/>
      <c r="K322" s="1727"/>
      <c r="L322" s="441"/>
      <c r="M322" s="568"/>
      <c r="N322" s="561"/>
      <c r="O322" s="1851"/>
      <c r="P322" s="1851"/>
      <c r="AH322" s="1858">
        <v>0</v>
      </c>
    </row>
    <row s="11160" customFormat="1" customHeight="1" ht="0.75">
      <c r="A323" s="2007"/>
      <c r="B323" s="2007"/>
      <c r="C323" s="596" t="s">
        <v>1156</v>
      </c>
      <c r="D323" s="2689"/>
      <c r="E323" s="2431"/>
      <c r="F323" s="2610"/>
      <c r="G323" s="627"/>
      <c r="H323" s="1727"/>
      <c r="I323" s="878"/>
      <c r="J323" s="798"/>
      <c r="K323" s="1727"/>
      <c r="L323" s="441"/>
      <c r="M323" s="568"/>
      <c r="N323" s="561"/>
      <c r="O323" s="1851"/>
      <c r="P323" s="1851"/>
      <c r="AH323" s="1858">
        <v>0</v>
      </c>
    </row>
    <row s="11160" customFormat="1" customHeight="1" ht="18.75" hidden="1">
      <c r="A324" s="2007" t="s">
        <v>257</v>
      </c>
      <c r="B324" s="2007" t="s">
        <v>258</v>
      </c>
      <c r="C324" s="596"/>
      <c r="D324" s="2689"/>
      <c r="E324" s="2431"/>
      <c r="F324" s="2610" t="str">
        <f>INDEX(PT_DIFFERENTIATION_VTAR,MATCH(A324,PT_DIFFERENTIATION_VTAR_ID,0))</f>
        <v>Тариф на транспортировку горячей воды</v>
      </c>
      <c r="G324" s="2654" t="str">
        <f>INDEX(PT_DIFFERENTIATION_NTAR,MATCH(B324,PT_DIFFERENTIATION_NTAR_ID,0))</f>
        <v/>
      </c>
      <c r="H324" s="2089"/>
      <c r="I324" s="1966"/>
      <c r="J324" s="2000"/>
      <c r="K324" s="2005"/>
      <c r="L324" s="2089" t="s">
        <v>308</v>
      </c>
      <c r="M324" s="568"/>
      <c r="N324" s="561"/>
      <c r="O324" s="1851"/>
      <c r="P324" s="1851"/>
      <c r="AH324" s="1858">
        <v>0</v>
      </c>
    </row>
    <row s="11160" customFormat="1" customHeight="1" ht="18.75" hidden="1">
      <c r="A325" s="2007"/>
      <c r="B325" s="2007"/>
      <c r="C325" s="596" t="s">
        <v>1147</v>
      </c>
      <c r="D325" s="2689"/>
      <c r="E325" s="2431"/>
      <c r="F325" s="2610"/>
      <c r="G325" s="2654"/>
      <c r="H325" s="1727"/>
      <c r="I325" s="878" t="s">
        <v>1146</v>
      </c>
      <c r="J325" s="798"/>
      <c r="K325" s="1727"/>
      <c r="L325" s="441"/>
      <c r="M325" s="568"/>
      <c r="N325" s="561"/>
      <c r="O325" s="1851"/>
      <c r="P325" s="1851"/>
      <c r="AH325" s="1858">
        <v>0</v>
      </c>
    </row>
    <row s="11160" customFormat="1" customHeight="1" ht="0.75" hidden="1">
      <c r="A326" s="2007"/>
      <c r="B326" s="2007"/>
      <c r="C326" s="596" t="s">
        <v>1156</v>
      </c>
      <c r="D326" s="2689"/>
      <c r="E326" s="2431"/>
      <c r="F326" s="2610"/>
      <c r="G326" s="627"/>
      <c r="H326" s="1727"/>
      <c r="I326" s="878"/>
      <c r="J326" s="798"/>
      <c r="K326" s="1727"/>
      <c r="L326" s="441"/>
      <c r="M326" s="568"/>
      <c r="N326" s="561"/>
      <c r="O326" s="1851"/>
      <c r="P326" s="1851"/>
      <c r="AH326" s="1858">
        <v>0</v>
      </c>
    </row>
    <row s="11160" customFormat="1" customHeight="1" ht="18.75" hidden="1">
      <c r="A327" s="2007" t="s">
        <v>262</v>
      </c>
      <c r="B327" s="2007" t="s">
        <v>263</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горячего водоснабжения</v>
      </c>
      <c r="G327" s="2654" t="str">
        <f>INDEX(PT_DIFFERENTIATION_NTAR,MATCH(B327,PT_DIFFERENTIATION_NTAR_ID,0))</f>
        <v/>
      </c>
      <c r="H327" s="2089"/>
      <c r="I327" s="1966"/>
      <c r="J327" s="2000"/>
      <c r="K327" s="2005"/>
      <c r="L327" s="2089" t="s">
        <v>308</v>
      </c>
      <c r="M327" s="568"/>
      <c r="N327" s="561"/>
      <c r="O327" s="1851"/>
      <c r="P327" s="1851"/>
      <c r="AH327" s="1858">
        <v>0</v>
      </c>
    </row>
    <row s="11160" customFormat="1" customHeight="1" ht="18.75" hidden="1">
      <c r="A328" s="2007"/>
      <c r="B328" s="2007"/>
      <c r="C328" s="596" t="s">
        <v>1147</v>
      </c>
      <c r="D328" s="2689"/>
      <c r="E328" s="2431"/>
      <c r="F328" s="2610"/>
      <c r="G328" s="2654"/>
      <c r="H328" s="1727"/>
      <c r="I328" s="878" t="s">
        <v>1146</v>
      </c>
      <c r="J328" s="798"/>
      <c r="K328" s="1727"/>
      <c r="L328" s="441"/>
      <c r="M328" s="568"/>
      <c r="N328" s="561"/>
      <c r="O328" s="1851"/>
      <c r="P328" s="1851"/>
      <c r="AH328" s="1858">
        <v>0</v>
      </c>
    </row>
    <row s="11160" customFormat="1" customHeight="1" ht="0.75" hidden="1">
      <c r="A329" s="2007"/>
      <c r="B329" s="2007"/>
      <c r="C329" s="596" t="s">
        <v>1156</v>
      </c>
      <c r="D329" s="2689"/>
      <c r="E329" s="2431"/>
      <c r="F329" s="2610"/>
      <c r="G329" s="627"/>
      <c r="H329" s="1727"/>
      <c r="I329" s="878"/>
      <c r="J329" s="798"/>
      <c r="K329" s="1727"/>
      <c r="L329" s="441"/>
      <c r="M329" s="568"/>
      <c r="N329" s="561"/>
      <c r="O329" s="1851"/>
      <c r="P329" s="1851"/>
      <c r="AH329" s="1858">
        <v>0</v>
      </c>
    </row>
    <row s="11160" customFormat="1" customHeight="1" ht="18.75" hidden="1">
      <c r="A330" s="2007" t="s">
        <v>267</v>
      </c>
      <c r="B330" s="2007" t="s">
        <v>268</v>
      </c>
      <c r="C330" s="596"/>
      <c r="D330" s="2689"/>
      <c r="E330" s="2431"/>
      <c r="F330" s="2610" t="str">
        <f>INDEX(PT_DIFFERENTIATION_VTAR,MATCH(A330,PT_DIFFERENTIATION_VTAR_ID,0))</f>
        <v>Тариф на водоотведение</v>
      </c>
      <c r="G330" s="2654" t="str">
        <f>INDEX(PT_DIFFERENTIATION_NTAR,MATCH(B330,PT_DIFFERENTIATION_NTAR_ID,0))</f>
        <v/>
      </c>
      <c r="H330" s="2089"/>
      <c r="I330" s="1966"/>
      <c r="J330" s="2000"/>
      <c r="K330" s="2005"/>
      <c r="L330" s="2089" t="s">
        <v>308</v>
      </c>
      <c r="M330" s="568"/>
      <c r="N330" s="561"/>
      <c r="O330" s="1851"/>
      <c r="P330" s="1851"/>
      <c r="AH330" s="1858">
        <v>0</v>
      </c>
    </row>
    <row s="11160" customFormat="1" customHeight="1" ht="18.75" hidden="1">
      <c r="A331" s="2007"/>
      <c r="B331" s="2007"/>
      <c r="C331" s="596" t="s">
        <v>1147</v>
      </c>
      <c r="D331" s="2689"/>
      <c r="E331" s="2431"/>
      <c r="F331" s="2610"/>
      <c r="G331" s="2654"/>
      <c r="H331" s="1727"/>
      <c r="I331" s="878" t="s">
        <v>1146</v>
      </c>
      <c r="J331" s="798"/>
      <c r="K331" s="1727"/>
      <c r="L331" s="441"/>
      <c r="M331" s="568"/>
      <c r="N331" s="561"/>
      <c r="O331" s="1851"/>
      <c r="P331" s="1851"/>
      <c r="AH331" s="1858">
        <v>0</v>
      </c>
    </row>
    <row s="11160" customFormat="1" customHeight="1" ht="0.75" hidden="1">
      <c r="A332" s="2007"/>
      <c r="B332" s="2007"/>
      <c r="C332" s="596" t="s">
        <v>1156</v>
      </c>
      <c r="D332" s="2689"/>
      <c r="E332" s="2431"/>
      <c r="F332" s="2610"/>
      <c r="G332" s="627"/>
      <c r="H332" s="1727"/>
      <c r="I332" s="878"/>
      <c r="J332" s="798"/>
      <c r="K332" s="1727"/>
      <c r="L332" s="441"/>
      <c r="M332" s="568"/>
      <c r="N332" s="561"/>
      <c r="O332" s="1851"/>
      <c r="P332" s="1851"/>
      <c r="AH332" s="1858">
        <v>0</v>
      </c>
    </row>
    <row s="11160" customFormat="1" customHeight="1" ht="18.75" hidden="1">
      <c r="A333" s="2007" t="s">
        <v>272</v>
      </c>
      <c r="B333" s="2007" t="s">
        <v>273</v>
      </c>
      <c r="C333" s="596"/>
      <c r="D333" s="2689"/>
      <c r="E333" s="2431"/>
      <c r="F333" s="2610" t="str">
        <f>INDEX(PT_DIFFERENTIATION_VTAR,MATCH(A333,PT_DIFFERENTIATION_VTAR_ID,0))</f>
        <v>Тариф на транспортировку сточных вод</v>
      </c>
      <c r="G333" s="2654" t="str">
        <f>INDEX(PT_DIFFERENTIATION_NTAR,MATCH(B333,PT_DIFFERENTIATION_NTAR_ID,0))</f>
        <v/>
      </c>
      <c r="H333" s="2089"/>
      <c r="I333" s="1966"/>
      <c r="J333" s="2000"/>
      <c r="K333" s="2005"/>
      <c r="L333" s="2089" t="s">
        <v>308</v>
      </c>
      <c r="M333" s="568"/>
      <c r="N333" s="561"/>
      <c r="O333" s="1851"/>
      <c r="P333" s="1851"/>
      <c r="AH333" s="1858">
        <v>0</v>
      </c>
    </row>
    <row s="11160" customFormat="1" customHeight="1" ht="18.75" hidden="1">
      <c r="A334" s="2007"/>
      <c r="B334" s="2007"/>
      <c r="C334" s="596" t="s">
        <v>1147</v>
      </c>
      <c r="D334" s="2689"/>
      <c r="E334" s="2431"/>
      <c r="F334" s="2610"/>
      <c r="G334" s="2654"/>
      <c r="H334" s="1727"/>
      <c r="I334" s="878" t="s">
        <v>1146</v>
      </c>
      <c r="J334" s="798"/>
      <c r="K334" s="1727"/>
      <c r="L334" s="441"/>
      <c r="M334" s="568"/>
      <c r="N334" s="561"/>
      <c r="O334" s="1851"/>
      <c r="P334" s="1851"/>
      <c r="AH334" s="1858">
        <v>0</v>
      </c>
    </row>
    <row s="11160" customFormat="1" customHeight="1" ht="0.75" hidden="1">
      <c r="A335" s="2007"/>
      <c r="B335" s="2007"/>
      <c r="C335" s="596" t="s">
        <v>1156</v>
      </c>
      <c r="D335" s="2689"/>
      <c r="E335" s="2431"/>
      <c r="F335" s="2610"/>
      <c r="G335" s="627"/>
      <c r="H335" s="1727"/>
      <c r="I335" s="878"/>
      <c r="J335" s="798"/>
      <c r="K335" s="1727"/>
      <c r="L335" s="441"/>
      <c r="M335" s="568"/>
      <c r="N335" s="561"/>
      <c r="O335" s="1851"/>
      <c r="P335" s="1851"/>
      <c r="AH335" s="1858">
        <v>0</v>
      </c>
    </row>
    <row s="11160" customFormat="1" customHeight="1" ht="18.75" hidden="1">
      <c r="A336" s="2007" t="s">
        <v>277</v>
      </c>
      <c r="B336" s="2007" t="s">
        <v>278</v>
      </c>
      <c r="C336" s="596"/>
      <c r="D336" s="2689"/>
      <c r="E336" s="2431"/>
      <c r="F336" s="2610" t="str">
        <f>INDEX(PT_DIFFERENTIATION_VTAR,MATCH(A336,PT_DIFFERENTIATION_VTAR_ID,0))</f>
        <v>Тариф на подключение (технологическое присоединение) к централизованной системе водоотведения</v>
      </c>
      <c r="G336" s="2654" t="str">
        <f>INDEX(PT_DIFFERENTIATION_NTAR,MATCH(B336,PT_DIFFERENTIATION_NTAR_ID,0))</f>
        <v/>
      </c>
      <c r="H336" s="2089"/>
      <c r="I336" s="1966"/>
      <c r="J336" s="2000"/>
      <c r="K336" s="2005"/>
      <c r="L336" s="2089" t="s">
        <v>308</v>
      </c>
      <c r="M336" s="568"/>
      <c r="N336" s="561"/>
      <c r="O336" s="1851"/>
      <c r="P336" s="1851"/>
      <c r="AH336" s="1858">
        <v>0</v>
      </c>
    </row>
    <row s="11160" customFormat="1" customHeight="1" ht="18.75" hidden="1">
      <c r="A337" s="2007"/>
      <c r="B337" s="2007"/>
      <c r="C337" s="596" t="s">
        <v>1147</v>
      </c>
      <c r="D337" s="2689"/>
      <c r="E337" s="2431"/>
      <c r="F337" s="2610"/>
      <c r="G337" s="2654"/>
      <c r="H337" s="1727"/>
      <c r="I337" s="878" t="s">
        <v>1146</v>
      </c>
      <c r="J337" s="798"/>
      <c r="K337" s="1727"/>
      <c r="L337" s="441"/>
      <c r="M337" s="568"/>
      <c r="N337" s="561"/>
      <c r="O337" s="1851"/>
      <c r="P337" s="1851"/>
      <c r="AH337" s="1858">
        <v>0</v>
      </c>
    </row>
    <row s="11160" customFormat="1" customHeight="1" ht="1.05">
      <c r="A338" s="2007"/>
      <c r="B338" s="2007"/>
      <c r="C338" s="596" t="s">
        <v>1156</v>
      </c>
      <c r="D338" s="2689"/>
      <c r="E338" s="2431"/>
      <c r="F338" s="2610"/>
      <c r="G338" s="627"/>
      <c r="H338" s="1727"/>
      <c r="I338" s="878"/>
      <c r="J338" s="798"/>
      <c r="K338" s="1727"/>
      <c r="L338" s="441"/>
      <c r="M338" s="568"/>
      <c r="N338" s="561"/>
      <c r="O338" s="1851"/>
      <c r="P338" s="1851"/>
      <c r="AH338" s="1858">
        <v>1</v>
      </c>
    </row>
    <row s="13337" customFormat="1" customHeight="1" ht="3">
      <c r="A339" s="2007"/>
      <c r="B339" s="2007"/>
      <c r="C339" s="2008"/>
      <c r="E339" s="629"/>
      <c r="F339" s="629"/>
      <c r="G339" s="629"/>
      <c r="H339" s="629"/>
      <c r="I339" s="629"/>
      <c r="J339" s="629"/>
      <c r="K339" s="629"/>
      <c r="L339" s="629"/>
      <c r="M339" s="629"/>
      <c r="O339" s="423"/>
      <c r="P339" s="423"/>
      <c r="AH339" s="367">
        <v>3</v>
      </c>
    </row>
    <row customHeight="1" ht="26.25">
      <c r="E340" s="429"/>
      <c r="F340" s="2512"/>
      <c r="G340" s="2512"/>
      <c r="H340" s="2512"/>
      <c r="I340" s="2512"/>
      <c r="J340" s="2512"/>
      <c r="K340" s="2512"/>
      <c r="L340" s="2512"/>
      <c r="M340" s="2512"/>
      <c r="AH340" s="601">
        <v>25</v>
      </c>
    </row>
    <row customHeight="1" ht="14.25" hidden="1">
      <c r="A341" s="2006" t="s">
        <v>81</v>
      </c>
      <c r="B341" s="2006">
        <v>0</v>
      </c>
      <c r="C341" s="596">
        <v>0</v>
      </c>
      <c r="D341" s="571">
        <v>3</v>
      </c>
      <c r="E341" s="601">
        <v>6</v>
      </c>
      <c r="F341" s="601">
        <v>46</v>
      </c>
      <c r="G341" s="601">
        <v>35</v>
      </c>
      <c r="H341" s="601">
        <v>3</v>
      </c>
      <c r="I341" s="601">
        <v>11</v>
      </c>
      <c r="J341" s="601">
        <v>11</v>
      </c>
      <c r="K341" s="601">
        <v>35</v>
      </c>
      <c r="L341" s="601">
        <v>35</v>
      </c>
      <c r="M341" s="601">
        <v>84</v>
      </c>
      <c r="N341" s="601">
        <v>10</v>
      </c>
      <c r="O341" s="577">
        <v>10</v>
      </c>
      <c r="P341" s="577">
        <v>10</v>
      </c>
      <c r="Q341" s="601">
        <v>10</v>
      </c>
      <c r="R341" s="601">
        <v>10</v>
      </c>
      <c r="S341" s="601">
        <v>10</v>
      </c>
      <c r="T341" s="601">
        <v>10</v>
      </c>
      <c r="U341" s="601">
        <v>10</v>
      </c>
      <c r="V341" s="601">
        <v>10</v>
      </c>
      <c r="W341" s="601">
        <v>10</v>
      </c>
      <c r="X341" s="601">
        <v>10</v>
      </c>
      <c r="Y341" s="601">
        <v>10</v>
      </c>
      <c r="Z341" s="601">
        <v>10</v>
      </c>
      <c r="AA341" s="601">
        <v>10</v>
      </c>
      <c r="AB341" s="601">
        <v>10</v>
      </c>
      <c r="AC341" s="601">
        <v>10</v>
      </c>
      <c r="AD341" s="601">
        <v>10</v>
      </c>
      <c r="AE341" s="601">
        <v>10</v>
      </c>
      <c r="AF341" s="601">
        <v>10</v>
      </c>
      <c r="AG341" s="601">
        <v>10</v>
      </c>
      <c r="AH341" s="601">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72:D74"/>
    <mergeCell ref="E72:E74"/>
    <mergeCell ref="F72:F74"/>
    <mergeCell ref="D93:D95"/>
    <mergeCell ref="E93:E95"/>
    <mergeCell ref="D75:D77"/>
    <mergeCell ref="E75:E77"/>
    <mergeCell ref="F75:F77"/>
    <mergeCell ref="G163:G164"/>
    <mergeCell ref="G166:G167"/>
    <mergeCell ref="E48:E50"/>
    <mergeCell ref="F48:F50"/>
    <mergeCell ref="G99:G100"/>
    <mergeCell ref="G102:G103"/>
    <mergeCell ref="D78:D80"/>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90:M93"/>
    <mergeCell ref="F153:L153"/>
    <mergeCell ref="M154:M157"/>
    <mergeCell ref="F217:L217"/>
    <mergeCell ref="F51:F53"/>
    <mergeCell ref="F54:F56"/>
    <mergeCell ref="F78:F80"/>
    <mergeCell ref="F81:F83"/>
    <mergeCell ref="F93:F95"/>
    <mergeCell ref="F96:F98"/>
    <mergeCell ref="M24:M86"/>
    <mergeCell ref="G42:G43"/>
    <mergeCell ref="G132:G136"/>
    <mergeCell ref="G138:G139"/>
    <mergeCell ref="G141:G142"/>
    <mergeCell ref="G144:G145"/>
    <mergeCell ref="G160:G161"/>
    <mergeCell ref="G93:G94"/>
    <mergeCell ref="G96:G97"/>
    <mergeCell ref="D45:D47"/>
    <mergeCell ref="E45:E47"/>
    <mergeCell ref="F45:F47"/>
    <mergeCell ref="D63:D65"/>
    <mergeCell ref="E63:E65"/>
    <mergeCell ref="F63:F65"/>
    <mergeCell ref="D66:D71"/>
    <mergeCell ref="E66:E71"/>
    <mergeCell ref="F66:F71"/>
    <mergeCell ref="D57:D59"/>
    <mergeCell ref="E57:E59"/>
    <mergeCell ref="F57:F59"/>
    <mergeCell ref="D60:D62"/>
    <mergeCell ref="E60:E62"/>
    <mergeCell ref="F60:F62"/>
    <mergeCell ref="D51:D53"/>
    <mergeCell ref="E51:E53"/>
    <mergeCell ref="D54:D56"/>
    <mergeCell ref="E54:E56"/>
    <mergeCell ref="D48:D50"/>
    <mergeCell ref="E78:E80"/>
    <mergeCell ref="D81:D83"/>
    <mergeCell ref="E81:E83"/>
    <mergeCell ref="D96:D98"/>
    <mergeCell ref="E96:E98"/>
    <mergeCell ref="D111:D113"/>
    <mergeCell ref="E111:E113"/>
    <mergeCell ref="F111:F113"/>
    <mergeCell ref="F99:F101"/>
    <mergeCell ref="D102:D104"/>
    <mergeCell ref="E102:E104"/>
    <mergeCell ref="F102:F104"/>
    <mergeCell ref="D84:D86"/>
    <mergeCell ref="E84:E86"/>
    <mergeCell ref="F84:F86"/>
    <mergeCell ref="D90:D92"/>
    <mergeCell ref="E90:E92"/>
    <mergeCell ref="F90:F92"/>
    <mergeCell ref="D99:D101"/>
    <mergeCell ref="E99:E101"/>
    <mergeCell ref="F87:L87"/>
    <mergeCell ref="H88:I88"/>
    <mergeCell ref="F89:L89"/>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41:D143"/>
    <mergeCell ref="E141:E143"/>
    <mergeCell ref="F141:F143"/>
    <mergeCell ref="D144:D146"/>
    <mergeCell ref="E144:E146"/>
    <mergeCell ref="F144:F146"/>
    <mergeCell ref="D132:D137"/>
    <mergeCell ref="E132:E137"/>
    <mergeCell ref="F132: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201"/>
    <mergeCell ref="E196:E201"/>
    <mergeCell ref="F196:F201"/>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70"/>
    <mergeCell ref="G72:G73"/>
    <mergeCell ref="G75:G76"/>
    <mergeCell ref="G78: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8:G109"/>
    <mergeCell ref="G111:G112"/>
    <mergeCell ref="G117:G118"/>
    <mergeCell ref="G120:G121"/>
    <mergeCell ref="G239:G240"/>
    <mergeCell ref="G245:G246"/>
    <mergeCell ref="G248:G249"/>
    <mergeCell ref="G251:G252"/>
    <mergeCell ref="G208:G209"/>
    <mergeCell ref="G214:G215"/>
    <mergeCell ref="G218:G219"/>
    <mergeCell ref="G221:G222"/>
    <mergeCell ref="G224:G225"/>
    <mergeCell ref="G172:G173"/>
    <mergeCell ref="G175:G176"/>
    <mergeCell ref="G181:G182"/>
    <mergeCell ref="G227:G228"/>
    <mergeCell ref="G230:G231"/>
    <mergeCell ref="G233:G234"/>
    <mergeCell ref="G187:G188"/>
    <mergeCell ref="G190:G191"/>
    <mergeCell ref="G193:G194"/>
    <mergeCell ref="G196:G200"/>
    <mergeCell ref="G169:G170"/>
  </mergeCells>
  <dataValidations count="4">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4 K141 K138 K132:K135 K129 K126 K123 K120 K117 K111 K108 K105 K102 K99 K96 K93 K154 K150 K157 K160 K163 K166 K169 K172 K175 K181 K184 K187 K190 K193 K202 K205 K208 K211 K214 K196:K199 K275 K279 K282 K285 K288 K291 K294 K297 K300 K306 K309 K312 K315 K318 K321 K324 K327 K330 K333 K336 K5 K114 K178 K242 K3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9 I72:J72 I75:J75 I78:J78 I81:J81 I218:J218 I221:J221 I224:J224 I227:J227 I230:J230 I233:J233 I236:J236 I239:J239 I245:J245 I248:J248 I251:J251 I254:J254 I257:J257 I260:J260 I263:J263 I266:J266 I269:J269 I8:J8 I84:J84 I150:J150 I93:J93 I96:J96 I99:J99 I102:J102 I105:J105 I108:J108 I111:J111 I117:J117 I120:J120 I123:J123 I126:J126 I129:J129 I132:J135 I138:J138 I141:J141 I144:J144 I147:J147 I154:J154 I90:J90 I157:J157 I160:J160 I163:J163 I166:J166 I169:J169 I172:J172 I175:J175 I181:J181 I184:J184 I187:J187 I190:J190 I193:J193 I202:J202 I205:J205 I208:J208 I211:J211 I214:J214 I196:J199 I272:J272 I275:J275 I279:J279 I282:J282 I285:J285 I288:J288 I291:J291 I294:J294 I297:J297 I300:J300 I306:J306 I309:J309 I312:J312 I315:J315 I318:J318 I321:J321 I324:J324 I327:J327 I330:J330 I333:J333 I336:J336 I2:J2 I5:J5 I48:J48 I114:J114 I178:J178 I242:J242 I303:J303"/>
  </dataValidations>
  <hyperlinks>
    <hyperlink ref="L88" r:id="rId2" xr:uid="{7FB6BDA8-C1E8-3D4B-E1F8-4B9F0B1EA4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C783D-5C93-E728-4198-9E2277E0AEE8}" mc:Ignorable="x14ac xr xr2 xr3">
  <sheetPr>
    <tabColor theme="6" tint="0.4"/>
  </sheetPr>
  <dimension ref="A1:R17"/>
  <sheetViews>
    <sheetView topLeftCell="A1" showGridLines="0" zoomScale="90" workbookViewId="0">
      <selection activeCell="F14" sqref="F9:G14"/>
    </sheetView>
  </sheetViews>
  <sheetFormatPr defaultColWidth="10.57421875" customHeight="1" defaultRowHeight="14.25"/>
  <cols>
    <col min="1" max="1" style="12054" width="9.140625" hidden="1" customWidth="1"/>
    <col min="2" max="2" style="11238" width="9.140625" hidden="1" customWidth="1"/>
    <col min="3" max="3" style="12055" width="3.00390625" customWidth="1"/>
    <col min="4" max="4" style="11160" width="6.00390625" customWidth="1"/>
    <col min="5" max="5" style="11160" width="53.00390625" customWidth="1"/>
    <col min="6" max="7" style="11160" width="35.00390625" customWidth="1"/>
    <col min="8" max="8" style="11160" width="89.00390625" customWidth="1"/>
    <col min="9" max="9" style="11160" width="10.00390625" customWidth="1"/>
    <col min="10" max="11" style="11328" width="10.00390625" customWidth="1"/>
    <col min="12" max="17" style="11160" width="10.00390625" customWidth="1"/>
    <col min="18" max="18" style="11160" width="10.57421875" hidden="1"/>
  </cols>
  <sheetData>
    <row customHeight="1" ht="22.5" hidden="1">
      <c r="N1" s="482"/>
      <c r="O1" s="482"/>
      <c r="Q1" s="482"/>
      <c r="R1" s="601" t="s">
        <v>14</v>
      </c>
    </row>
    <row s="11160" customFormat="1" customHeight="1" ht="18.75" hidden="1">
      <c r="A2" s="329"/>
      <c r="B2" s="1387"/>
      <c r="C2" s="1957" t="s">
        <v>531</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1160" customFormat="1" customHeight="1" ht="18">
      <c r="A6" s="1896"/>
      <c r="B6" s="1387"/>
      <c r="C6" s="603"/>
      <c r="D6" s="2684" t="str">
        <f>IF(org=0,"Не определено",org)</f>
        <v>ООО "Рыбинская генерация"</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302</v>
      </c>
      <c r="E8" s="2436"/>
      <c r="F8" s="2436"/>
      <c r="G8" s="2436"/>
      <c r="H8" s="2616" t="s">
        <v>303</v>
      </c>
      <c r="R8" s="601">
        <v>14</v>
      </c>
    </row>
    <row customHeight="1" ht="24">
      <c r="C9" s="603"/>
      <c r="D9" s="613" t="s">
        <v>87</v>
      </c>
      <c r="E9" s="335" t="s">
        <v>304</v>
      </c>
      <c r="F9" s="335" t="s">
        <v>305</v>
      </c>
      <c r="G9" s="335" t="s">
        <v>392</v>
      </c>
      <c r="H9" s="2616"/>
      <c r="R9" s="601">
        <v>23</v>
      </c>
    </row>
    <row customHeight="1" ht="15">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7420" t="s">
        <v>1157</v>
      </c>
      <c r="G10" s="7421" t="s">
        <v>1158</v>
      </c>
      <c r="H10" s="2396" t="s">
        <v>1159</v>
      </c>
      <c r="R10" s="601">
        <v>14</v>
      </c>
    </row>
    <row customHeight="1" ht="15">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7420" t="s">
        <v>1157</v>
      </c>
      <c r="G11" s="7421" t="s">
        <v>1158</v>
      </c>
      <c r="H11" s="2397"/>
      <c r="R11" s="601">
        <v>14</v>
      </c>
    </row>
    <row customHeight="1" ht="15">
      <c r="A12" s="329"/>
      <c r="C12" s="614"/>
      <c r="D12" s="374" t="s">
        <v>89</v>
      </c>
      <c r="E12" s="615" t="str">
        <f>"Сведения о планировании закупочных процедур"&amp;IF(TEMPLATE_SPHERE="TKO"," &lt;1&gt;","")</f>
        <v>Сведения о планировании закупочных процедур</v>
      </c>
      <c r="F12" s="7420" t="s">
        <v>1157</v>
      </c>
      <c r="G12" s="7421"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5">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7420" t="s">
        <v>1157</v>
      </c>
      <c r="G13" s="7421" t="s">
        <v>1161</v>
      </c>
      <c r="H13" s="2397"/>
      <c r="I13" s="577"/>
      <c r="K13" s="601"/>
      <c r="R13" s="601">
        <v>14</v>
      </c>
    </row>
    <row customHeight="1" ht="14.699999999999998">
      <c r="A14" s="570"/>
      <c r="C14" s="603"/>
      <c r="D14" s="574"/>
      <c r="E14" s="622" t="s">
        <v>324</v>
      </c>
      <c r="F14" s="576"/>
      <c r="G14" s="428"/>
      <c r="H14" s="2398"/>
      <c r="R14" s="601">
        <v>14</v>
      </c>
    </row>
    <row s="1116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F10" r:id="rId2" xr:uid="{617C4E38-5318-B549-BCF8-251C076E40B8}"/>
    <hyperlink ref="G10" r:id="rId3" xr:uid="{DDA341EC-62C8-7D33-724B-E2B08065FC4A}"/>
    <hyperlink ref="F11" r:id="rId4" xr:uid="{9D9633E2-5C68-C138-9B56-88D0E134421B}"/>
    <hyperlink ref="G11" r:id="rId5" xr:uid="{A7378D2F-E2D8-4FD4-F608-4917FC9D3858}"/>
    <hyperlink ref="F12" r:id="rId6" xr:uid="{12CBED66-B9E9-1F68-84C2-9C37ECCA8418}"/>
    <hyperlink ref="G12" r:id="rId7" xr:uid="{DA3B653F-A038-FD98-13F8-6DD0FEAB1B09}"/>
    <hyperlink ref="F13" r:id="rId8" xr:uid="{D364877D-AEA8-6638-E9A8-F9BF2ED6F928}"/>
    <hyperlink ref="G13" r:id="rId9" xr:uid="{643E4F18-FC28-9F1D-F238-3EDAAB7294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12A8C-0688-0028-DB28-8202041EA4E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24" width="9.140625" hidden="1" customWidth="1"/>
    <col min="2" max="2" style="11160" width="9.140625" hidden="1" customWidth="1"/>
    <col min="3" max="3" style="13078" width="4.00390625" customWidth="1"/>
    <col min="4" max="4" style="11160" width="6.00390625" customWidth="1"/>
    <col min="5" max="5" style="11160" width="47.00390625" customWidth="1"/>
    <col min="6" max="6" style="11160" width="9.00390625" customWidth="1"/>
    <col min="7" max="7" style="11160" width="25.7109375" hidden="1" customWidth="1"/>
    <col min="8" max="8" style="11160" width="34.00390625" hidden="1" customWidth="1"/>
    <col min="9" max="9" style="11160" width="25.7109375" customWidth="1"/>
    <col min="10" max="10" style="11160" width="33.00390625" customWidth="1"/>
    <col min="11" max="11" style="11238" width="50.00390625" customWidth="1"/>
    <col min="12" max="20" style="11160" width="10.00390625" customWidth="1"/>
    <col min="21" max="21" style="13079" width="10.00390625" customWidth="1"/>
    <col min="22" max="22" style="11160" width="10.57421875" hidden="1"/>
  </cols>
  <sheetData>
    <row s="11238" customFormat="1" customHeight="1" ht="22.5" hidden="1">
      <c r="C1" s="899"/>
      <c r="G1" s="644">
        <v>4</v>
      </c>
      <c r="I1" s="644">
        <v>4</v>
      </c>
      <c r="U1" s="647"/>
      <c r="V1" s="644" t="s">
        <v>14</v>
      </c>
    </row>
    <row s="11160" customFormat="1" customHeight="1" ht="15" hidden="1">
      <c r="A2" s="589"/>
      <c r="C2" s="403"/>
      <c r="D2" s="573"/>
      <c r="E2" s="900"/>
      <c r="F2" s="749"/>
      <c r="G2" s="843"/>
      <c r="H2" s="843"/>
      <c r="I2" s="843"/>
      <c r="J2" s="843"/>
      <c r="U2" s="901"/>
      <c r="V2" s="736">
        <v>0</v>
      </c>
    </row>
    <row s="11238" customFormat="1" customHeight="1" ht="15" hidden="1">
      <c r="C3" s="899"/>
      <c r="U3" s="647"/>
      <c r="V3" s="644">
        <v>0</v>
      </c>
    </row>
    <row customHeight="1" ht="15.75">
      <c r="C4" s="403"/>
      <c r="D4" s="736"/>
      <c r="E4" s="736"/>
      <c r="F4" s="736"/>
      <c r="G4" s="736"/>
      <c r="H4" s="736"/>
      <c r="I4" s="736"/>
      <c r="J4" s="736"/>
      <c r="V4" s="732">
        <v>15</v>
      </c>
    </row>
    <row customHeight="1" ht="66">
      <c r="C5" s="403"/>
      <c r="D5" s="2464" t="s">
        <v>1162</v>
      </c>
      <c r="E5" s="2464"/>
      <c r="F5" s="2464"/>
      <c r="G5" s="2464"/>
      <c r="H5" s="2464"/>
      <c r="I5" s="2464"/>
      <c r="J5" s="2464"/>
      <c r="V5" s="732">
        <v>63</v>
      </c>
    </row>
    <row customHeight="1" ht="15.75">
      <c r="C6" s="403"/>
      <c r="D6" s="2403" t="str">
        <f>IF(org=0,"Не определено",org)</f>
        <v>ООО "Рыбинская генерация"</v>
      </c>
      <c r="E6" s="2403"/>
      <c r="F6" s="2403"/>
      <c r="G6" s="2403"/>
      <c r="H6" s="2403"/>
      <c r="I6" s="2403"/>
      <c r="J6" s="2403"/>
      <c r="K6" s="764"/>
      <c r="V6" s="732">
        <v>15</v>
      </c>
    </row>
    <row customHeight="1" ht="15.75">
      <c r="C7" s="403"/>
      <c r="D7" s="979"/>
      <c r="E7" s="736"/>
      <c r="F7" s="736"/>
      <c r="G7" s="764">
        <v>22</v>
      </c>
      <c r="I7" s="764">
        <v>1</v>
      </c>
      <c r="J7" s="979"/>
      <c r="V7" s="732">
        <v>15</v>
      </c>
    </row>
    <row s="11160"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303</v>
      </c>
      <c r="V9" s="732">
        <v>15</v>
      </c>
    </row>
    <row s="11160" customFormat="1" customHeight="1" ht="15.75">
      <c r="A10" s="986"/>
      <c r="C10" s="403"/>
      <c r="D10" s="938"/>
      <c r="E10" s="2594" t="s">
        <v>566</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160" customFormat="1" customHeight="1" ht="15.75">
      <c r="A11" s="986"/>
      <c r="C11" s="403"/>
      <c r="D11" s="938"/>
      <c r="E11" s="2594" t="s">
        <v>567</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160" customFormat="1" customHeight="1" ht="15.75">
      <c r="A12" s="986"/>
      <c r="C12" s="403"/>
      <c r="D12" s="2596" t="s">
        <v>302</v>
      </c>
      <c r="E12" s="2597"/>
      <c r="F12" s="2597"/>
      <c r="G12" s="1114"/>
      <c r="H12" s="1114"/>
      <c r="I12" s="1114"/>
      <c r="J12" s="1114"/>
      <c r="K12" s="2426"/>
      <c r="U12" s="902"/>
      <c r="V12" s="985">
        <v>15</v>
      </c>
    </row>
    <row customHeight="1" ht="35.699999999999996">
      <c r="C13" s="403"/>
      <c r="D13" s="1032" t="s">
        <v>87</v>
      </c>
      <c r="E13" s="1034" t="s">
        <v>304</v>
      </c>
      <c r="F13" s="1034" t="s">
        <v>568</v>
      </c>
      <c r="G13" s="1035" t="s">
        <v>305</v>
      </c>
      <c r="H13" s="1034" t="s">
        <v>392</v>
      </c>
      <c r="I13" s="1035" t="s">
        <v>305</v>
      </c>
      <c r="J13" s="1034" t="s">
        <v>392</v>
      </c>
      <c r="K13" s="2459"/>
      <c r="V13" s="732">
        <v>34</v>
      </c>
    </row>
    <row customHeight="1" ht="15" hidden="1">
      <c r="C14" s="403"/>
      <c r="D14" s="820" t="s">
        <v>108</v>
      </c>
      <c r="E14" s="820" t="s">
        <v>109</v>
      </c>
      <c r="F14" s="820" t="s">
        <v>89</v>
      </c>
      <c r="G14" s="886" t="str">
        <f>G1&amp;".1"</f>
        <v>4.1</v>
      </c>
      <c r="H14" s="886"/>
      <c r="I14" s="886" t="str">
        <f>I1&amp;".1"</f>
        <v>4.1</v>
      </c>
      <c r="J14" s="886"/>
      <c r="K14" s="516"/>
      <c r="V14" s="732">
        <v>0</v>
      </c>
    </row>
    <row customHeight="1" ht="22.5" hidden="1">
      <c r="A15" s="732"/>
      <c r="C15" s="753"/>
      <c r="D15" s="748">
        <v>1</v>
      </c>
      <c r="E15" s="904" t="s">
        <v>810</v>
      </c>
      <c r="F15" s="748" t="s">
        <v>811</v>
      </c>
      <c r="G15" s="905"/>
      <c r="H15" s="905"/>
      <c r="I15" s="905"/>
      <c r="J15" s="905"/>
      <c r="K15" s="516" t="s">
        <v>812</v>
      </c>
      <c r="V15" s="732">
        <v>0</v>
      </c>
    </row>
    <row customHeight="1" ht="22.5" hidden="1">
      <c r="A16" s="732"/>
      <c r="C16" s="753"/>
      <c r="D16" s="748">
        <v>2</v>
      </c>
      <c r="E16" s="506" t="s">
        <v>813</v>
      </c>
      <c r="F16" s="748" t="s">
        <v>814</v>
      </c>
      <c r="G16" s="905"/>
      <c r="H16" s="905"/>
      <c r="I16" s="905"/>
      <c r="J16" s="905"/>
      <c r="K16" s="516" t="s">
        <v>815</v>
      </c>
      <c r="V16" s="732">
        <v>0</v>
      </c>
    </row>
    <row customHeight="1" ht="123.75" hidden="1">
      <c r="A17" s="732"/>
      <c r="C17" s="753"/>
      <c r="D17" s="748">
        <v>3</v>
      </c>
      <c r="E17" s="506" t="s">
        <v>1163</v>
      </c>
      <c r="F17" s="748" t="s">
        <v>308</v>
      </c>
      <c r="G17" s="905"/>
      <c r="H17" s="905"/>
      <c r="I17" s="905"/>
      <c r="J17" s="905"/>
      <c r="K17" s="516" t="s">
        <v>1164</v>
      </c>
      <c r="V17" s="732">
        <v>0</v>
      </c>
    </row>
    <row customHeight="1" ht="48.29999999999999">
      <c r="A18" s="732"/>
      <c r="C18" s="753"/>
      <c r="D18" s="748">
        <v>3</v>
      </c>
      <c r="E18" s="506" t="s">
        <v>816</v>
      </c>
      <c r="F18" s="748" t="s">
        <v>308</v>
      </c>
      <c r="G18" s="1036" t="s">
        <v>308</v>
      </c>
      <c r="H18" s="1037" t="s">
        <v>308</v>
      </c>
      <c r="I18" s="748" t="s">
        <v>308</v>
      </c>
      <c r="J18" s="805" t="s">
        <v>308</v>
      </c>
      <c r="K18" s="516" t="s">
        <v>1165</v>
      </c>
      <c r="V18" s="732">
        <v>46</v>
      </c>
    </row>
    <row customHeight="1" ht="35.699999999999996">
      <c r="A19" s="732"/>
      <c r="C19" s="753"/>
      <c r="D19" s="766" t="s">
        <v>326</v>
      </c>
      <c r="E19" s="786" t="s">
        <v>818</v>
      </c>
      <c r="F19" s="748" t="s">
        <v>819</v>
      </c>
      <c r="G19" s="1044"/>
      <c r="H19" s="333"/>
      <c r="I19" s="1044"/>
      <c r="J19" s="1045"/>
      <c r="K19" s="906"/>
      <c r="V19" s="732">
        <v>34</v>
      </c>
    </row>
    <row customHeight="1" ht="35.699999999999996">
      <c r="A20" s="732"/>
      <c r="C20" s="753"/>
      <c r="D20" s="2117" t="s">
        <v>334</v>
      </c>
      <c r="E20" s="786" t="s">
        <v>820</v>
      </c>
      <c r="F20" s="748" t="s">
        <v>821</v>
      </c>
      <c r="G20" s="1044"/>
      <c r="H20" s="333"/>
      <c r="I20" s="1044"/>
      <c r="J20" s="333"/>
      <c r="K20" s="906"/>
      <c r="V20" s="732">
        <v>34</v>
      </c>
    </row>
    <row customHeight="1" ht="48.29999999999999">
      <c r="A21" s="732"/>
      <c r="C21" s="753"/>
      <c r="D21" s="2117" t="s">
        <v>336</v>
      </c>
      <c r="E21" s="786" t="s">
        <v>822</v>
      </c>
      <c r="F21" s="748" t="s">
        <v>573</v>
      </c>
      <c r="G21" s="907"/>
      <c r="H21" s="333"/>
      <c r="I21" s="907"/>
      <c r="J21" s="333"/>
      <c r="K21" s="906"/>
      <c r="V21" s="732">
        <v>46</v>
      </c>
    </row>
    <row customHeight="1" ht="67.5" hidden="1">
      <c r="A22" s="732"/>
      <c r="C22" s="753"/>
      <c r="D22" s="748">
        <v>5</v>
      </c>
      <c r="E22" s="506" t="s">
        <v>1166</v>
      </c>
      <c r="F22" s="748" t="s">
        <v>560</v>
      </c>
      <c r="G22" s="908"/>
      <c r="H22" s="909"/>
      <c r="I22" s="908"/>
      <c r="J22" s="909"/>
      <c r="K22" s="516" t="s">
        <v>1167</v>
      </c>
      <c r="V22" s="732">
        <v>0</v>
      </c>
    </row>
    <row customHeight="1" ht="33.75" hidden="1">
      <c r="C23" s="678"/>
      <c r="D23" s="748">
        <v>6</v>
      </c>
      <c r="E23" s="506" t="s">
        <v>1168</v>
      </c>
      <c r="F23" s="748" t="s">
        <v>1169</v>
      </c>
      <c r="G23" s="908"/>
      <c r="H23" s="908"/>
      <c r="I23" s="908"/>
      <c r="J23" s="908"/>
      <c r="K23" s="516" t="s">
        <v>1170</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68BCF8-29D4-599F-1D82-617C9E43A0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508" width="32.57421875" customWidth="1"/>
    <col min="2" max="2" style="11299" width="11.00390625" customWidth="1"/>
    <col min="3" max="3" style="11299" width="9.140625"/>
    <col min="4" max="4" style="11299" width="26.57421875" customWidth="1"/>
    <col min="5" max="5" style="13337" width="36.8515625" customWidth="1"/>
    <col min="6" max="6" style="13337" width="23.57421875" customWidth="1"/>
    <col min="7" max="7" style="13337" width="31.421875" customWidth="1"/>
    <col min="8" max="8" style="13337" width="40.8515625" customWidth="1"/>
    <col min="9" max="9" style="13337" width="14.57421875" customWidth="1"/>
    <col min="10" max="10" style="13337" width="26.8515625" customWidth="1"/>
    <col min="11" max="11" style="13337" width="50.00390625" customWidth="1"/>
    <col min="12" max="12" style="13337" width="52.421875" customWidth="1"/>
    <col min="13" max="13" style="13337" width="10.7109375" customWidth="1"/>
    <col min="14" max="14" style="13337" width="55.140625" customWidth="1"/>
    <col min="15" max="15" style="13337" width="31.8515625" customWidth="1"/>
    <col min="16" max="16" style="13337" width="23.8515625" customWidth="1"/>
    <col min="17" max="17" style="13337" width="46.57421875" customWidth="1"/>
    <col min="18" max="18" style="13337" width="24.00390625" customWidth="1"/>
    <col min="19" max="19" style="13337" width="20.57421875" customWidth="1"/>
    <col min="20" max="20" style="13337" width="22.00390625" customWidth="1"/>
    <col min="21" max="22" style="13337" width="26.421875" customWidth="1"/>
    <col min="23" max="23" style="13337" width="8.28125" hidden="1" customWidth="1"/>
    <col min="24" max="24" style="13337" width="59.7109375" customWidth="1"/>
    <col min="25" max="25" style="13337" width="49.140625" customWidth="1"/>
    <col min="26" max="26" style="13337" width="11.140625" customWidth="1"/>
    <col min="27" max="30" style="13337" width="29.00390625" customWidth="1"/>
    <col min="31" max="31" style="13337" width="9.140625"/>
    <col min="32" max="32" style="13337" width="34.7109375" customWidth="1"/>
    <col min="33" max="33" style="13337" width="9.140625"/>
    <col min="34" max="35" style="13337" width="34.421875" customWidth="1"/>
    <col min="36" max="36" style="13337" width="9.140625"/>
    <col min="37" max="37" style="13337" width="24.57421875" customWidth="1"/>
    <col min="38" max="38" style="13337" width="9.140625"/>
    <col min="39" max="39" style="13337" width="26.140625" customWidth="1"/>
    <col min="40" max="40" style="13337" width="1.7109375" customWidth="1"/>
    <col min="41" max="41" style="13337" width="9.140625"/>
    <col min="42" max="43" style="13337" width="47.8515625" customWidth="1"/>
    <col min="44" max="44" style="13337" width="1.7109375" customWidth="1"/>
    <col min="45" max="45" style="13337" width="21.421875" customWidth="1"/>
    <col min="46" max="46" style="13337" width="1.7109375" customWidth="1"/>
    <col min="47" max="47" style="13337" width="31.28125" customWidth="1"/>
    <col min="48" max="48" style="13337" width="1.7109375" customWidth="1"/>
    <col min="49" max="50" style="13337" width="9.140625"/>
    <col min="51" max="51" style="13337" width="3.7109375" customWidth="1"/>
    <col min="52" max="52" style="13337" width="60.8515625" customWidth="1"/>
    <col min="53" max="53" style="13337" width="49.28125" customWidth="1"/>
    <col min="54" max="54" style="13337" width="35.140625" customWidth="1"/>
    <col min="55" max="55" style="13337" width="9.140625"/>
    <col min="56" max="56" style="13337" width="1.7109375" customWidth="1"/>
    <col min="57" max="57" style="13509" width="12.57421875" customWidth="1"/>
    <col min="58" max="58" style="13509" width="14.28125" customWidth="1"/>
    <col min="59" max="59" style="13337" width="30.7109375" customWidth="1"/>
    <col min="60" max="60" style="13510" width="40.7109375" customWidth="1"/>
    <col min="61" max="61" style="13510" width="15.00390625" customWidth="1"/>
    <col min="62" max="62" style="13510" width="40.7109375" customWidth="1"/>
    <col min="63" max="63" style="13510" width="2.7109375" customWidth="1"/>
    <col min="64" max="64" style="13510" width="44.7109375" customWidth="1"/>
    <col min="65" max="65" style="13510" width="2.7109375" customWidth="1"/>
    <col min="66" max="66" style="13510" width="40.7109375" customWidth="1"/>
    <col min="67" max="68" style="13337" width="9.140625"/>
    <col min="69" max="69" style="13337" width="18.140625" customWidth="1"/>
    <col min="70" max="70" style="13337" width="57.8515625" customWidth="1"/>
    <col min="71" max="71" style="13337" width="1.7109375" customWidth="1"/>
    <col min="72" max="72" style="13337" width="22.57421875" customWidth="1"/>
    <col min="73" max="73" style="13337" width="57.8515625" customWidth="1"/>
    <col min="74" max="74" style="13337" width="1.7109375" customWidth="1"/>
    <col min="75" max="75" style="13337" width="22.57421875" customWidth="1"/>
    <col min="76" max="76" style="13337" width="57.8515625" customWidth="1"/>
    <col min="77" max="77" style="13337" width="1.7109375" customWidth="1"/>
    <col min="78" max="78" style="13337" width="22.57421875" customWidth="1"/>
    <col min="79" max="79" style="13337" width="57.8515625" customWidth="1"/>
    <col min="80" max="81" style="13337" width="9.140625"/>
    <col min="82" max="82" style="13337" width="49.57421875" customWidth="1"/>
  </cols>
  <sheetData>
    <row s="13411" customFormat="1" customHeight="1" ht="11.25">
      <c r="A1" s="1294" t="s">
        <v>1171</v>
      </c>
      <c r="B1" s="1294" t="s">
        <v>1172</v>
      </c>
      <c r="C1" s="1294" t="s">
        <v>1173</v>
      </c>
      <c r="D1" s="1294" t="s">
        <v>1174</v>
      </c>
      <c r="E1" s="1294" t="s">
        <v>1175</v>
      </c>
      <c r="F1" s="1294" t="s">
        <v>1176</v>
      </c>
      <c r="G1" s="1294" t="s">
        <v>1177</v>
      </c>
      <c r="H1" s="1294" t="s">
        <v>1178</v>
      </c>
      <c r="I1" s="1294" t="s">
        <v>1179</v>
      </c>
      <c r="J1" s="1294" t="s">
        <v>1180</v>
      </c>
      <c r="K1" s="1294" t="s">
        <v>1181</v>
      </c>
      <c r="L1" s="1294" t="s">
        <v>1182</v>
      </c>
      <c r="M1" s="1294"/>
      <c r="N1" s="1294" t="s">
        <v>1183</v>
      </c>
      <c r="O1" s="1294" t="s">
        <v>1184</v>
      </c>
      <c r="P1" s="1294" t="s">
        <v>1185</v>
      </c>
      <c r="Q1" s="1294" t="s">
        <v>1186</v>
      </c>
      <c r="R1" s="1294" t="s">
        <v>1187</v>
      </c>
      <c r="S1" s="1294" t="s">
        <v>1188</v>
      </c>
      <c r="T1" s="1294" t="s">
        <v>1189</v>
      </c>
      <c r="U1" s="1294" t="s">
        <v>1190</v>
      </c>
      <c r="V1" s="1294"/>
      <c r="W1" s="1024" t="s">
        <v>1191</v>
      </c>
      <c r="X1" s="1294" t="s">
        <v>1192</v>
      </c>
      <c r="Y1" s="1294" t="s">
        <v>1193</v>
      </c>
      <c r="Z1" s="1294"/>
      <c r="AA1" s="1294" t="s">
        <v>1194</v>
      </c>
      <c r="AB1" s="1294"/>
      <c r="AC1" s="1294" t="s">
        <v>1195</v>
      </c>
      <c r="AD1" s="1294"/>
      <c r="AF1" s="1294" t="s">
        <v>1196</v>
      </c>
      <c r="AH1" s="1294" t="s">
        <v>1197</v>
      </c>
      <c r="AI1" s="1294" t="s">
        <v>1198</v>
      </c>
      <c r="AK1" s="1294" t="s">
        <v>1199</v>
      </c>
      <c r="AM1" s="1294" t="s">
        <v>1200</v>
      </c>
      <c r="AP1" s="1294" t="s">
        <v>1201</v>
      </c>
      <c r="AQ1" s="1294" t="s">
        <v>1202</v>
      </c>
      <c r="AS1" s="1294" t="s">
        <v>1203</v>
      </c>
      <c r="AU1" s="1294" t="s">
        <v>1204</v>
      </c>
      <c r="AW1" s="1294" t="s">
        <v>1205</v>
      </c>
      <c r="AX1" s="1294" t="s">
        <v>1206</v>
      </c>
      <c r="AZ1" s="1379" t="s">
        <v>1207</v>
      </c>
      <c r="BB1" s="1294" t="s">
        <v>1208</v>
      </c>
      <c r="BC1" s="1294"/>
      <c r="BE1" s="1294" t="s">
        <v>1209</v>
      </c>
      <c r="BF1" s="1294" t="s">
        <v>1210</v>
      </c>
      <c r="BH1" s="1296" t="s">
        <v>809</v>
      </c>
      <c r="BI1" s="1297"/>
      <c r="BJ1" s="1298" t="s">
        <v>1211</v>
      </c>
      <c r="BK1" s="1297"/>
      <c r="BL1" s="1299" t="s">
        <v>908</v>
      </c>
      <c r="BM1" s="1297"/>
      <c r="BN1" s="1300" t="s">
        <v>1212</v>
      </c>
      <c r="BS1" s="1654"/>
    </row>
    <row customHeight="1" ht="11.25">
      <c r="A2" s="1301" t="s">
        <v>1213</v>
      </c>
      <c r="B2" s="1302">
        <v>2000</v>
      </c>
      <c r="C2" s="1302">
        <v>2022</v>
      </c>
      <c r="D2" s="1302" t="s">
        <v>65</v>
      </c>
      <c r="E2" s="1303" t="s">
        <v>1214</v>
      </c>
      <c r="F2" s="1303" t="s">
        <v>1215</v>
      </c>
      <c r="G2" s="1303" t="s">
        <v>1216</v>
      </c>
      <c r="H2" s="1304" t="s">
        <v>54</v>
      </c>
      <c r="I2" s="1303" t="s">
        <v>108</v>
      </c>
      <c r="J2" s="1303" t="s">
        <v>1217</v>
      </c>
      <c r="K2" s="1305" t="s">
        <v>1218</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1236</v>
      </c>
      <c r="BB2" s="1347" t="s">
        <v>1237</v>
      </c>
      <c r="BC2" s="1347" t="s">
        <v>1238</v>
      </c>
      <c r="BE2" s="1347">
        <v>2000</v>
      </c>
      <c r="BF2" s="1347" t="s">
        <v>1239</v>
      </c>
    </row>
    <row customHeight="1" ht="11.25">
      <c r="A3" s="1301" t="s">
        <v>1240</v>
      </c>
      <c r="B3" s="1302">
        <v>2001</v>
      </c>
      <c r="C3" s="1302">
        <v>2023</v>
      </c>
      <c r="D3" s="1302" t="s">
        <v>19</v>
      </c>
      <c r="E3" s="1303" t="s">
        <v>1241</v>
      </c>
      <c r="F3" s="1303" t="s">
        <v>1242</v>
      </c>
      <c r="G3" s="1303" t="s">
        <v>1243</v>
      </c>
      <c r="H3" s="1304" t="s">
        <v>1244</v>
      </c>
      <c r="I3" s="1303" t="s">
        <v>109</v>
      </c>
      <c r="J3" s="1303" t="s">
        <v>558</v>
      </c>
      <c r="K3" s="1305" t="s">
        <v>1152</v>
      </c>
      <c r="L3" s="1306">
        <f>_xlfn.IFERROR(MATCH(K3,OFFER_METHOD,0),0)</f>
        <v>43</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1238</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89</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90</v>
      </c>
      <c r="K5" s="1305" t="s">
        <v>1313</v>
      </c>
      <c r="L5" s="1306">
        <f>_xlfn.IFERROR(MATCH(K5,OFFER_METHOD,0),0)</f>
        <v>0</v>
      </c>
      <c r="M5" s="1305">
        <v>4</v>
      </c>
      <c r="N5" s="1319" t="s">
        <v>1314</v>
      </c>
      <c r="O5" s="1303" t="s">
        <v>1315</v>
      </c>
      <c r="Q5" s="1308" t="s">
        <v>1316</v>
      </c>
      <c r="R5" s="370" t="s">
        <v>543</v>
      </c>
      <c r="T5" s="1304" t="s">
        <v>1317</v>
      </c>
      <c r="U5" s="1306" t="s">
        <v>1318</v>
      </c>
      <c r="V5" s="1310">
        <v>4</v>
      </c>
      <c r="W5" s="1311"/>
      <c r="X5" s="1311" t="s">
        <v>165</v>
      </c>
      <c r="Y5" s="1302" t="s">
        <v>1319</v>
      </c>
      <c r="Z5" s="1318">
        <v>1</v>
      </c>
      <c r="AF5" s="1304" t="s">
        <v>1320</v>
      </c>
      <c r="AH5" s="1303" t="s">
        <v>1321</v>
      </c>
      <c r="AK5" s="1303" t="s">
        <v>1322</v>
      </c>
      <c r="AM5" s="1303" t="s">
        <v>1323</v>
      </c>
      <c r="AP5" s="1314" t="s">
        <v>165</v>
      </c>
      <c r="AQ5" s="1315" t="s">
        <v>165</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1226</v>
      </c>
      <c r="BS5" s="1656"/>
      <c r="BT5" s="1508">
        <v>64236871</v>
      </c>
      <c r="BU5" s="1295" t="s">
        <v>226</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43</v>
      </c>
      <c r="N6" s="1319" t="s">
        <v>1338</v>
      </c>
      <c r="O6" s="1303" t="s">
        <v>1339</v>
      </c>
      <c r="R6" s="370" t="s">
        <v>1221</v>
      </c>
      <c r="T6" s="1304" t="s">
        <v>1340</v>
      </c>
      <c r="U6" s="1306" t="s">
        <v>1320</v>
      </c>
      <c r="V6" s="1310">
        <v>5</v>
      </c>
      <c r="W6" s="1311"/>
      <c r="X6" s="1302" t="s">
        <v>171</v>
      </c>
      <c r="Y6" s="1302" t="s">
        <v>1341</v>
      </c>
      <c r="Z6" s="1318"/>
      <c r="AA6" s="1321"/>
      <c r="AH6" s="1303" t="s">
        <v>1342</v>
      </c>
      <c r="AK6" s="1303" t="s">
        <v>1343</v>
      </c>
      <c r="AM6" s="1303" t="s">
        <v>1344</v>
      </c>
      <c r="AP6" s="1314" t="s">
        <v>171</v>
      </c>
      <c r="AQ6" s="1315" t="s">
        <v>171</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1260</v>
      </c>
      <c r="BS6" s="1657"/>
      <c r="BT6" s="1508">
        <v>64236872</v>
      </c>
      <c r="BU6" s="1295" t="s">
        <v>231</v>
      </c>
      <c r="BV6" s="1297"/>
      <c r="BW6" s="1922">
        <v>4213768</v>
      </c>
      <c r="BX6" s="1920" t="s">
        <v>256</v>
      </c>
      <c r="BZ6" s="1508">
        <v>64237510</v>
      </c>
      <c r="CA6" s="1295" t="s">
        <v>1352</v>
      </c>
    </row>
    <row customHeight="1" ht="11.25">
      <c r="A7" s="1301" t="s">
        <v>1353</v>
      </c>
      <c r="B7" s="1302">
        <v>2005</v>
      </c>
      <c r="E7" s="1303" t="s">
        <v>1354</v>
      </c>
      <c r="F7" s="1320"/>
      <c r="H7" s="1304" t="s">
        <v>1355</v>
      </c>
      <c r="I7" s="1303" t="s">
        <v>91</v>
      </c>
      <c r="J7" s="1303" t="s">
        <v>1356</v>
      </c>
      <c r="N7" s="1323" t="s">
        <v>1357</v>
      </c>
      <c r="O7" s="1303" t="s">
        <v>1358</v>
      </c>
      <c r="U7" s="1306" t="s">
        <v>19</v>
      </c>
      <c r="V7" s="597" t="s">
        <v>91</v>
      </c>
      <c r="W7" s="1311"/>
      <c r="X7" s="1302" t="s">
        <v>177</v>
      </c>
      <c r="Y7" s="1302" t="s">
        <v>1319</v>
      </c>
      <c r="Z7" s="1318"/>
      <c r="AA7" s="1321"/>
      <c r="AH7" s="1303" t="s">
        <v>1359</v>
      </c>
      <c r="AK7" s="1303" t="s">
        <v>1360</v>
      </c>
      <c r="AM7" s="1303" t="s">
        <v>1361</v>
      </c>
      <c r="AP7" s="1314" t="s">
        <v>177</v>
      </c>
      <c r="AQ7" s="1315" t="s">
        <v>177</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1253</v>
      </c>
      <c r="BS7" s="1656"/>
      <c r="BT7" s="1508">
        <v>64236873</v>
      </c>
      <c r="BU7" s="1295" t="s">
        <v>236</v>
      </c>
      <c r="BV7" s="1297"/>
      <c r="BW7" s="1922">
        <v>4213769</v>
      </c>
      <c r="BX7" s="1920" t="s">
        <v>1369</v>
      </c>
      <c r="BZ7" s="1508">
        <v>64237511</v>
      </c>
      <c r="CA7" s="1295" t="s">
        <v>271</v>
      </c>
    </row>
    <row customHeight="1" ht="11.25">
      <c r="A8" s="1301" t="s">
        <v>1370</v>
      </c>
      <c r="B8" s="1302">
        <v>2006</v>
      </c>
      <c r="E8" s="1303" t="s">
        <v>1371</v>
      </c>
      <c r="F8" s="1320"/>
      <c r="H8" s="1304" t="s">
        <v>1372</v>
      </c>
      <c r="I8" s="1303" t="s">
        <v>92</v>
      </c>
      <c r="J8" s="1303" t="s">
        <v>1373</v>
      </c>
      <c r="N8" s="1390" t="s">
        <v>1374</v>
      </c>
      <c r="O8" s="1303" t="s">
        <v>1375</v>
      </c>
      <c r="V8" s="597" t="s">
        <v>92</v>
      </c>
      <c r="W8" s="1311"/>
      <c r="X8" s="1302" t="s">
        <v>183</v>
      </c>
      <c r="Y8" s="1302" t="s">
        <v>1319</v>
      </c>
      <c r="Z8" s="1318"/>
      <c r="AA8" s="1321"/>
      <c r="AK8" s="1303" t="s">
        <v>1376</v>
      </c>
      <c r="AP8" s="1314" t="s">
        <v>183</v>
      </c>
      <c r="AQ8" s="1315" t="s">
        <v>183</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165</v>
      </c>
      <c r="BS8" s="1656"/>
      <c r="BT8" s="1508">
        <v>64236874</v>
      </c>
      <c r="BU8" s="1522" t="s">
        <v>1385</v>
      </c>
      <c r="BV8" s="1297"/>
      <c r="BW8" s="1922">
        <v>4213770</v>
      </c>
      <c r="BX8" s="1923" t="s">
        <v>1386</v>
      </c>
      <c r="BZ8" s="1508">
        <v>64237512</v>
      </c>
      <c r="CA8" s="1295" t="s">
        <v>266</v>
      </c>
    </row>
    <row customHeight="1" ht="11.25">
      <c r="A9" s="1301" t="s">
        <v>1387</v>
      </c>
      <c r="B9" s="1302">
        <v>2007</v>
      </c>
      <c r="E9" s="1303" t="s">
        <v>1388</v>
      </c>
      <c r="F9" s="1320"/>
      <c r="G9" s="1294" t="s">
        <v>1389</v>
      </c>
      <c r="H9" s="1294" t="s">
        <v>1390</v>
      </c>
      <c r="I9" s="1303" t="s">
        <v>111</v>
      </c>
      <c r="O9" s="1303" t="s">
        <v>1391</v>
      </c>
      <c r="V9" s="597" t="s">
        <v>111</v>
      </c>
      <c r="W9" s="1311"/>
      <c r="X9" s="1302" t="s">
        <v>189</v>
      </c>
      <c r="Y9" s="1302" t="s">
        <v>1227</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171</v>
      </c>
      <c r="BS9" s="1656"/>
      <c r="BT9" s="1508">
        <v>64236875</v>
      </c>
      <c r="BU9" s="1295" t="s">
        <v>241</v>
      </c>
      <c r="BV9" s="1297"/>
      <c r="BW9" s="1917"/>
      <c r="BX9" s="1917"/>
    </row>
    <row customHeight="1" ht="11.25">
      <c r="A10" s="1301" t="s">
        <v>1401</v>
      </c>
      <c r="B10" s="1302">
        <v>2008</v>
      </c>
      <c r="E10" s="1303" t="s">
        <v>1402</v>
      </c>
      <c r="F10" s="1320"/>
      <c r="G10" s="1303" t="s">
        <v>1403</v>
      </c>
      <c r="H10" s="1303" t="s">
        <v>1404</v>
      </c>
      <c r="I10" s="1303" t="s">
        <v>147</v>
      </c>
      <c r="J10" s="1294" t="s">
        <v>1405</v>
      </c>
      <c r="K10" s="1294" t="s">
        <v>1406</v>
      </c>
      <c r="O10" s="1303" t="s">
        <v>1407</v>
      </c>
      <c r="V10" s="598" t="s">
        <v>147</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177</v>
      </c>
      <c r="BS10" s="1656"/>
      <c r="BT10" s="1508">
        <v>64236876</v>
      </c>
      <c r="BU10" s="1295" t="s">
        <v>221</v>
      </c>
      <c r="BV10" s="1297"/>
      <c r="BW10" s="1917"/>
      <c r="BX10" s="1917"/>
    </row>
    <row customHeight="1" ht="11.25">
      <c r="A11" s="1301" t="s">
        <v>1417</v>
      </c>
      <c r="B11" s="1302">
        <v>2009</v>
      </c>
      <c r="E11" s="1303" t="s">
        <v>1418</v>
      </c>
      <c r="F11" s="1320"/>
      <c r="G11" s="1303" t="s">
        <v>1419</v>
      </c>
      <c r="H11" s="1303" t="s">
        <v>1420</v>
      </c>
      <c r="I11" s="1303" t="s">
        <v>148</v>
      </c>
      <c r="J11" s="1304" t="s">
        <v>1421</v>
      </c>
      <c r="K11" s="1326" t="s">
        <v>1422</v>
      </c>
      <c r="O11" s="1304" t="s">
        <v>1423</v>
      </c>
      <c r="V11" s="597" t="s">
        <v>148</v>
      </c>
      <c r="W11" s="502"/>
      <c r="X11" s="1311" t="s">
        <v>1393</v>
      </c>
      <c r="Y11" s="1302" t="s">
        <v>1424</v>
      </c>
      <c r="Z11" s="1318"/>
      <c r="AP11" s="1314" t="s">
        <v>189</v>
      </c>
      <c r="AQ11" s="1316" t="s">
        <v>189</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183</v>
      </c>
      <c r="BS11" s="1656"/>
      <c r="BW11" s="1917"/>
      <c r="BX11" s="1917"/>
    </row>
    <row customHeight="1" ht="11.25">
      <c r="A12" s="1301" t="s">
        <v>1431</v>
      </c>
      <c r="B12" s="1302">
        <v>2010</v>
      </c>
      <c r="E12" s="1303" t="s">
        <v>1432</v>
      </c>
      <c r="F12" s="1320"/>
      <c r="G12" s="1303" t="s">
        <v>1420</v>
      </c>
      <c r="I12" s="1303" t="s">
        <v>149</v>
      </c>
      <c r="J12" s="1304" t="s">
        <v>1433</v>
      </c>
      <c r="K12" s="1326" t="s">
        <v>1434</v>
      </c>
      <c r="O12" s="1304" t="s">
        <v>1221</v>
      </c>
      <c r="V12" s="597" t="s">
        <v>149</v>
      </c>
      <c r="W12" s="1316"/>
      <c r="X12" s="1311" t="s">
        <v>1435</v>
      </c>
      <c r="Y12" s="1302" t="s">
        <v>1227</v>
      </c>
      <c r="AP12" s="1314"/>
      <c r="AW12" s="1347" t="s">
        <v>148</v>
      </c>
      <c r="AX12" s="1347" t="s">
        <v>148</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150</v>
      </c>
      <c r="K13" s="1326" t="s">
        <v>1392</v>
      </c>
      <c r="V13" s="597" t="s">
        <v>150</v>
      </c>
      <c r="W13" s="1316"/>
      <c r="X13" s="1316"/>
      <c r="Y13" s="1316"/>
      <c r="AW13" s="1347" t="s">
        <v>149</v>
      </c>
      <c r="AX13" s="1347" t="s">
        <v>149</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151</v>
      </c>
      <c r="J14" s="1294" t="s">
        <v>1450</v>
      </c>
      <c r="N14" s="1294" t="s">
        <v>1451</v>
      </c>
      <c r="V14" s="1310">
        <v>13</v>
      </c>
      <c r="W14" s="1311"/>
      <c r="X14" s="1311" t="s">
        <v>1260</v>
      </c>
      <c r="Y14" s="1302" t="s">
        <v>1227</v>
      </c>
      <c r="AW14" s="1347" t="s">
        <v>150</v>
      </c>
      <c r="AX14" s="1347" t="s">
        <v>150</v>
      </c>
      <c r="AZ14" s="1294" t="s">
        <v>1452</v>
      </c>
      <c r="BB14" s="1347" t="s">
        <v>1453</v>
      </c>
      <c r="BC14" s="1347" t="s">
        <v>1445</v>
      </c>
      <c r="BE14" s="1347">
        <v>2012</v>
      </c>
      <c r="BH14" s="1295" t="s">
        <v>1368</v>
      </c>
      <c r="BJ14" s="1444" t="s">
        <v>1454</v>
      </c>
      <c r="BL14" s="1444" t="s">
        <v>1454</v>
      </c>
      <c r="BN14" s="1295" t="s">
        <v>1455</v>
      </c>
      <c r="BQ14" s="1508">
        <v>4213782</v>
      </c>
      <c r="BR14" s="1295" t="s">
        <v>189</v>
      </c>
      <c r="BS14" s="1656"/>
      <c r="BT14" s="1297"/>
      <c r="BU14" s="1297"/>
      <c r="BV14" s="1297"/>
      <c r="BW14" s="1921"/>
      <c r="BX14" s="1917"/>
    </row>
    <row customHeight="1" ht="19.5">
      <c r="A15" s="1301" t="s">
        <v>1456</v>
      </c>
      <c r="B15" s="1302">
        <v>2013</v>
      </c>
      <c r="E15" s="1925" t="s">
        <v>1457</v>
      </c>
      <c r="G15" s="1294" t="s">
        <v>1458</v>
      </c>
      <c r="H15" s="1294" t="s">
        <v>1459</v>
      </c>
      <c r="I15" s="1305" t="s">
        <v>152</v>
      </c>
      <c r="J15" s="1316" t="s">
        <v>585</v>
      </c>
      <c r="N15" s="1385" t="s">
        <v>1460</v>
      </c>
      <c r="X15" s="1314"/>
      <c r="AW15" s="1347" t="s">
        <v>151</v>
      </c>
      <c r="AX15" s="1347" t="s">
        <v>151</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558</v>
      </c>
      <c r="N16" s="1385" t="s">
        <v>1469</v>
      </c>
      <c r="AW16" s="1347" t="s">
        <v>152</v>
      </c>
      <c r="AX16" s="1347" t="s">
        <v>152</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1271</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1301</v>
      </c>
      <c r="BR18" s="1386" t="s">
        <v>1302</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164</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1260</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295</v>
      </c>
    </row>
    <row customHeight="1" ht="21">
      <c r="A23" s="1301" t="s">
        <v>1536</v>
      </c>
      <c r="B23" s="1302">
        <v>2021</v>
      </c>
      <c r="AW23" s="1347" t="s">
        <v>1537</v>
      </c>
      <c r="AX23" s="1347" t="s">
        <v>1537</v>
      </c>
      <c r="AZ23" s="1347" t="s">
        <v>1538</v>
      </c>
      <c r="BB23" s="1347" t="s">
        <v>1539</v>
      </c>
      <c r="BC23" s="1347" t="s">
        <v>1238</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531</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01.01.2025</v>
      </c>
      <c r="F29" s="1332" t="str">
        <f>IF(TEMPLATE_GROUP="","",INDEX(EndDateList,MATCH(TEMPLATE_GROUP,CodeTemplateList,0),1))</f>
        <v>31.12.2028</v>
      </c>
      <c r="H29" s="1333" t="s">
        <v>1575</v>
      </c>
      <c r="AX29" s="1347" t="s">
        <v>1576</v>
      </c>
      <c r="AZ29" s="1347" t="s">
        <v>1222</v>
      </c>
      <c r="BB29" s="1347" t="s">
        <v>1423</v>
      </c>
      <c r="BC29" s="1318"/>
      <c r="BE29" s="1347">
        <v>2027</v>
      </c>
      <c r="BJ29" s="1295" t="s">
        <v>1463</v>
      </c>
      <c r="BL29" s="1295" t="s">
        <v>1463</v>
      </c>
    </row>
    <row customHeight="1" ht="11.25">
      <c r="A30" s="1301" t="s">
        <v>1577</v>
      </c>
      <c r="D30" s="1334"/>
      <c r="E30" s="1335"/>
      <c r="F30" s="1335"/>
      <c r="AX30" s="1347" t="s">
        <v>1578</v>
      </c>
      <c r="AZ30" s="1347" t="s">
        <v>1249</v>
      </c>
      <c r="BE30" s="1347">
        <v>2028</v>
      </c>
      <c r="BJ30" s="1295" t="s">
        <v>1579</v>
      </c>
      <c r="BL30" s="1295" t="s">
        <v>1579</v>
      </c>
    </row>
    <row customHeight="1" ht="12.75">
      <c r="A31" s="1301" t="s">
        <v>1580</v>
      </c>
      <c r="D31" s="1328"/>
      <c r="E31" s="1329"/>
      <c r="F31" s="1329"/>
      <c r="H31" s="1336"/>
      <c r="AX31" s="1347" t="s">
        <v>1581</v>
      </c>
      <c r="AZ31" s="1347" t="s">
        <v>544</v>
      </c>
      <c r="BE31" s="1347">
        <v>2029</v>
      </c>
      <c r="BJ31" s="1295" t="s">
        <v>1582</v>
      </c>
      <c r="BL31" s="1295" t="s">
        <v>1582</v>
      </c>
    </row>
    <row customHeight="1" ht="11.25">
      <c r="A32" s="1301" t="s">
        <v>1583</v>
      </c>
      <c r="D32" s="1331" t="s">
        <v>1584</v>
      </c>
      <c r="E32" s="1332" t="str">
        <f>IF(TEMPLATE_GROUP="","",INDEX(StartDateList,MATCH(TEMPLATE_GROUP,CodeTemplateList,0),1))</f>
        <v>01.01.2025</v>
      </c>
      <c r="F32" s="1332" t="str">
        <f>IF(TEMPLATE_GROUP="","",INDEX(EndDateList,MATCH(TEMPLATE_GROUP,CodeTemplateList,0),1))</f>
        <v>31.12.2028</v>
      </c>
      <c r="H32" s="1337" t="s">
        <v>1585</v>
      </c>
      <c r="O32" s="1301" t="s">
        <v>1220</v>
      </c>
      <c r="AX32" s="1347" t="s">
        <v>1586</v>
      </c>
      <c r="AZ32" s="1347" t="s">
        <v>543</v>
      </c>
      <c r="BE32" s="1347">
        <v>2030</v>
      </c>
      <c r="BJ32" s="1295" t="s">
        <v>1472</v>
      </c>
      <c r="BL32" s="1295" t="s">
        <v>1472</v>
      </c>
    </row>
    <row customHeight="1" ht="11.25">
      <c r="A33" s="1301" t="s">
        <v>1587</v>
      </c>
      <c r="O33" s="1301" t="s">
        <v>1246</v>
      </c>
      <c r="AX33" s="1347" t="s">
        <v>1588</v>
      </c>
      <c r="AZ33" s="1347" t="s">
        <v>1221</v>
      </c>
      <c r="BE33" s="1347">
        <v>2031</v>
      </c>
      <c r="BJ33" s="1295" t="s">
        <v>1479</v>
      </c>
      <c r="BL33" s="1295" t="s">
        <v>1479</v>
      </c>
    </row>
    <row customHeight="1" ht="11.25">
      <c r="A34" s="1301" t="s">
        <v>1589</v>
      </c>
      <c r="O34" s="1301" t="s">
        <v>1282</v>
      </c>
      <c r="AX34" s="1347" t="s">
        <v>1590</v>
      </c>
      <c r="BE34" s="1347">
        <v>2032</v>
      </c>
      <c r="BJ34" s="1295" t="s">
        <v>1490</v>
      </c>
      <c r="BL34" s="1295" t="s">
        <v>1490</v>
      </c>
    </row>
    <row customHeight="1" ht="11.25">
      <c r="A35" s="1301" t="s">
        <v>1591</v>
      </c>
      <c r="O35" s="1301" t="s">
        <v>1315</v>
      </c>
      <c r="AX35" s="1347" t="s">
        <v>1592</v>
      </c>
      <c r="AZ35" s="1294" t="s">
        <v>1593</v>
      </c>
      <c r="BE35" s="1347">
        <v>2033</v>
      </c>
      <c r="BL35" s="1295" t="s">
        <v>1594</v>
      </c>
    </row>
    <row customHeight="1" ht="11.25">
      <c r="A36" s="2097" t="s">
        <v>1595</v>
      </c>
      <c r="D36" s="1338" t="s">
        <v>1596</v>
      </c>
      <c r="E36" s="1339" t="s">
        <v>895</v>
      </c>
      <c r="F36" s="1340" t="str">
        <f>INDEX(E37:E41,MATCH(TEMPLATE_SPHERE,F37:F41,0))</f>
        <v>горячего водоснабжения</v>
      </c>
      <c r="G36" s="1340" t="str">
        <f>INDEX(G37:G41,MATCH(TEMPLATE_SPHERE,F37:F41,0))</f>
        <v>горячее водоснабжение</v>
      </c>
      <c r="O36" s="1301" t="s">
        <v>1339</v>
      </c>
      <c r="AX36" s="1347" t="s">
        <v>1597</v>
      </c>
      <c r="AZ36" s="1347" t="s">
        <v>1221</v>
      </c>
      <c r="BE36" s="1347">
        <v>2034</v>
      </c>
      <c r="BL36" s="1295" t="s">
        <v>1598</v>
      </c>
    </row>
    <row customHeight="1" ht="11.25">
      <c r="A37" s="1301" t="s">
        <v>1599</v>
      </c>
      <c r="E37" s="634" t="s">
        <v>1600</v>
      </c>
      <c r="F37" s="1341" t="s">
        <v>809</v>
      </c>
      <c r="G37" s="634" t="s">
        <v>1601</v>
      </c>
      <c r="O37" s="1301" t="s">
        <v>1358</v>
      </c>
      <c r="AX37" s="1347" t="s">
        <v>1602</v>
      </c>
      <c r="AZ37" s="1347" t="s">
        <v>1248</v>
      </c>
      <c r="BE37" s="1347">
        <v>2035</v>
      </c>
    </row>
    <row customHeight="1" ht="11.25">
      <c r="A38" s="1301" t="s">
        <v>1603</v>
      </c>
      <c r="E38" s="634" t="s">
        <v>1604</v>
      </c>
      <c r="F38" s="1342" t="s">
        <v>855</v>
      </c>
      <c r="G38" s="634" t="s">
        <v>1605</v>
      </c>
      <c r="O38" s="1301" t="s">
        <v>1375</v>
      </c>
      <c r="AX38" s="1347" t="s">
        <v>1606</v>
      </c>
      <c r="AZ38" s="1347" t="s">
        <v>1283</v>
      </c>
      <c r="BE38" s="1347">
        <v>2036</v>
      </c>
      <c r="BH38" s="1294" t="s">
        <v>1607</v>
      </c>
      <c r="BJ38" s="1294" t="s">
        <v>1608</v>
      </c>
      <c r="BL38" s="1294" t="s">
        <v>1609</v>
      </c>
      <c r="BN38" s="1294" t="s">
        <v>1610</v>
      </c>
    </row>
    <row customHeight="1" ht="11.25">
      <c r="A39" s="1301" t="s">
        <v>1611</v>
      </c>
      <c r="E39" s="634" t="s">
        <v>1612</v>
      </c>
      <c r="F39" s="1342" t="s">
        <v>908</v>
      </c>
      <c r="G39" s="634" t="s">
        <v>1613</v>
      </c>
      <c r="O39" s="1301" t="s">
        <v>1391</v>
      </c>
      <c r="AX39" s="1347" t="s">
        <v>1614</v>
      </c>
      <c r="AZ39" s="1347" t="s">
        <v>1316</v>
      </c>
      <c r="BE39" s="1347">
        <v>2037</v>
      </c>
      <c r="BH39" s="1295" t="s">
        <v>1615</v>
      </c>
      <c r="BJ39" s="1444" t="s">
        <v>1615</v>
      </c>
      <c r="BL39" s="1444" t="s">
        <v>1615</v>
      </c>
      <c r="BN39" s="1295" t="s">
        <v>1616</v>
      </c>
    </row>
    <row customHeight="1" ht="11.25">
      <c r="A40" s="1301" t="s">
        <v>1617</v>
      </c>
      <c r="E40" s="634" t="s">
        <v>1618</v>
      </c>
      <c r="F40" s="1342" t="s">
        <v>895</v>
      </c>
      <c r="G40" s="634" t="s">
        <v>1619</v>
      </c>
      <c r="O40" s="1301" t="s">
        <v>1407</v>
      </c>
      <c r="AX40" s="1347" t="s">
        <v>1620</v>
      </c>
      <c r="BE40" s="1347">
        <v>2038</v>
      </c>
      <c r="BH40" s="1295" t="s">
        <v>1621</v>
      </c>
      <c r="BJ40" s="1444" t="s">
        <v>1028</v>
      </c>
      <c r="BL40" s="1444" t="s">
        <v>1028</v>
      </c>
      <c r="BN40" s="1295" t="s">
        <v>1062</v>
      </c>
    </row>
    <row customHeight="1" ht="11.25">
      <c r="A41" s="1301" t="s">
        <v>1622</v>
      </c>
      <c r="E41" s="634" t="s">
        <v>1623</v>
      </c>
      <c r="F41" s="1342" t="s">
        <v>1624</v>
      </c>
      <c r="G41" s="634" t="s">
        <v>1623</v>
      </c>
      <c r="O41" s="1301" t="s">
        <v>1423</v>
      </c>
      <c r="AX41" s="1347" t="s">
        <v>1625</v>
      </c>
      <c r="AZ41" s="1294" t="s">
        <v>1626</v>
      </c>
      <c r="BE41" s="1347">
        <v>2039</v>
      </c>
      <c r="BH41" s="1295" t="s">
        <v>1627</v>
      </c>
      <c r="BJ41" s="1444" t="s">
        <v>1024</v>
      </c>
      <c r="BL41" s="1444" t="s">
        <v>1024</v>
      </c>
      <c r="BN41" s="1295" t="s">
        <v>1049</v>
      </c>
    </row>
    <row customHeight="1" ht="11.25">
      <c r="A42" s="1301" t="s">
        <v>1628</v>
      </c>
      <c r="AX42" s="1347" t="s">
        <v>1629</v>
      </c>
      <c r="AZ42" s="1347" t="s">
        <v>1220</v>
      </c>
      <c r="BE42" s="1347">
        <v>2040</v>
      </c>
      <c r="BH42" s="1295" t="s">
        <v>1046</v>
      </c>
      <c r="BJ42" s="1444" t="s">
        <v>1026</v>
      </c>
      <c r="BL42" s="1444" t="s">
        <v>1026</v>
      </c>
      <c r="BN42" s="1295" t="s">
        <v>1630</v>
      </c>
    </row>
    <row customHeight="1" ht="11.25">
      <c r="A43" s="1301" t="s">
        <v>1631</v>
      </c>
      <c r="AX43" s="1347" t="s">
        <v>1632</v>
      </c>
      <c r="AZ43" s="1347" t="s">
        <v>1246</v>
      </c>
      <c r="BE43" s="1347">
        <v>2041</v>
      </c>
      <c r="BH43" s="1295" t="s">
        <v>1633</v>
      </c>
      <c r="BJ43" s="1444" t="s">
        <v>1627</v>
      </c>
      <c r="BL43" s="1444" t="s">
        <v>1627</v>
      </c>
      <c r="BN43" s="1295" t="s">
        <v>1634</v>
      </c>
    </row>
    <row customHeight="1" ht="11.25">
      <c r="A44" s="1301" t="s">
        <v>1635</v>
      </c>
      <c r="G44" s="1321">
        <f>YEAR(TODAY())</f>
        <v>2024</v>
      </c>
      <c r="I44" s="1026" t="s">
        <v>1636</v>
      </c>
      <c r="J44" s="1316" t="s">
        <v>1637</v>
      </c>
      <c r="K44" s="1316" t="s">
        <v>1638</v>
      </c>
      <c r="AX44" s="1347" t="s">
        <v>1639</v>
      </c>
      <c r="AZ44" s="1347" t="s">
        <v>1282</v>
      </c>
      <c r="BE44" s="1347">
        <v>2042</v>
      </c>
      <c r="BH44" s="1295" t="s">
        <v>1640</v>
      </c>
      <c r="BJ44" s="1444" t="s">
        <v>1046</v>
      </c>
      <c r="BL44" s="1444" t="s">
        <v>1046</v>
      </c>
      <c r="BN44" s="1295" t="s">
        <v>1641</v>
      </c>
    </row>
    <row customHeight="1" ht="11.25">
      <c r="A45" s="1301" t="s">
        <v>1642</v>
      </c>
      <c r="D45" s="1338" t="s">
        <v>1643</v>
      </c>
      <c r="E45" s="1339" t="s">
        <v>1644</v>
      </c>
      <c r="F45" s="1024" t="s">
        <v>1645</v>
      </c>
      <c r="G45" s="1023" t="s">
        <v>1646</v>
      </c>
      <c r="H45" s="1026" t="s">
        <v>1647</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1648</v>
      </c>
      <c r="AZ45" s="1347" t="s">
        <v>1315</v>
      </c>
      <c r="BE45" s="1347">
        <v>2043</v>
      </c>
      <c r="BH45" s="1295" t="s">
        <v>1649</v>
      </c>
      <c r="BJ45" s="1444" t="s">
        <v>1040</v>
      </c>
      <c r="BL45" s="1444" t="s">
        <v>1040</v>
      </c>
      <c r="BN45" s="1295" t="s">
        <v>1650</v>
      </c>
    </row>
    <row customHeight="1" ht="11.25">
      <c r="A46" s="1301" t="s">
        <v>1651</v>
      </c>
      <c r="E46" s="634" t="s">
        <v>26</v>
      </c>
      <c r="F46" s="1341" t="s">
        <v>1652</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1653</v>
      </c>
      <c r="AZ46" s="1347" t="s">
        <v>1339</v>
      </c>
      <c r="BE46" s="1347">
        <v>2044</v>
      </c>
      <c r="BH46" s="1295" t="s">
        <v>1049</v>
      </c>
      <c r="BJ46" s="1444" t="s">
        <v>1030</v>
      </c>
      <c r="BL46" s="1444" t="s">
        <v>1030</v>
      </c>
      <c r="BN46" s="1295" t="s">
        <v>1654</v>
      </c>
    </row>
    <row customHeight="1" ht="11.25">
      <c r="A47" s="1301" t="s">
        <v>1655</v>
      </c>
      <c r="E47" s="634" t="s">
        <v>33</v>
      </c>
      <c r="F47" s="1342" t="s">
        <v>1656</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1657</v>
      </c>
      <c r="AZ47" s="1347" t="s">
        <v>1358</v>
      </c>
      <c r="BE47" s="1347">
        <v>2045</v>
      </c>
      <c r="BH47" s="1295" t="s">
        <v>1630</v>
      </c>
      <c r="BJ47" s="1444" t="s">
        <v>1032</v>
      </c>
      <c r="BL47" s="1444" t="s">
        <v>1032</v>
      </c>
      <c r="BN47" s="1295" t="s">
        <v>1658</v>
      </c>
    </row>
    <row customHeight="1" ht="11.25">
      <c r="A48" s="1301" t="s">
        <v>1659</v>
      </c>
      <c r="E48" s="634" t="s">
        <v>1660</v>
      </c>
      <c r="F48" s="1342" t="s">
        <v>1661</v>
      </c>
      <c r="G48" s="1343" t="str">
        <f>_xlfn.IFERROR(IF(f_year="","01.01."&amp;CURRENT_YEAR,"01.01."&amp;f_year),"01.01."&amp;CURRENT_YEAR)</f>
        <v>01.01.2024</v>
      </c>
      <c r="H48" s="1343" t="str">
        <f>_xlfn.IFERROR(IF(f_year="","31.12."&amp;CURRENT_YEAR,"31.12."&amp;f_year),"31.12."&amp;CURRENT_YEAR)</f>
        <v>31.12.2024</v>
      </c>
      <c r="I48" s="1969">
        <f>IF(f_year="",TRUE,FALSE)</f>
        <v>1</v>
      </c>
      <c r="J48" s="1972" t="s">
        <v>1662</v>
      </c>
      <c r="K48" s="1973"/>
      <c r="AX48" s="1347" t="s">
        <v>1663</v>
      </c>
      <c r="AZ48" s="1347" t="s">
        <v>1375</v>
      </c>
      <c r="BE48" s="1347">
        <v>2046</v>
      </c>
      <c r="BH48" s="1295" t="s">
        <v>1634</v>
      </c>
      <c r="BJ48" s="1444" t="s">
        <v>1034</v>
      </c>
      <c r="BL48" s="1444" t="s">
        <v>1034</v>
      </c>
      <c r="BN48" s="1295" t="s">
        <v>1664</v>
      </c>
    </row>
    <row customHeight="1" ht="11.25">
      <c r="A49" s="1301" t="s">
        <v>1665</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1668</v>
      </c>
      <c r="AZ49" s="1347" t="s">
        <v>1391</v>
      </c>
      <c r="BE49" s="1347">
        <v>2047</v>
      </c>
      <c r="BH49" s="1295" t="s">
        <v>1050</v>
      </c>
      <c r="BJ49" s="1444" t="s">
        <v>1036</v>
      </c>
      <c r="BL49" s="1444" t="s">
        <v>1036</v>
      </c>
    </row>
    <row customHeight="1" ht="11.25">
      <c r="A50" s="1301" t="s">
        <v>1669</v>
      </c>
      <c r="E50" s="634" t="s">
        <v>1670</v>
      </c>
      <c r="F50" s="1342" t="s">
        <v>1020</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1671</v>
      </c>
      <c r="AZ50" s="1347" t="s">
        <v>1407</v>
      </c>
      <c r="BE50" s="1347">
        <v>2048</v>
      </c>
      <c r="BH50" s="1295" t="s">
        <v>1641</v>
      </c>
      <c r="BJ50" s="1444" t="s">
        <v>1038</v>
      </c>
      <c r="BL50" s="1444" t="s">
        <v>1038</v>
      </c>
    </row>
    <row customHeight="1" ht="11.25">
      <c r="A51" s="1301" t="s">
        <v>1672</v>
      </c>
      <c r="E51" s="634" t="s">
        <v>1673</v>
      </c>
      <c r="F51" s="1342" t="s">
        <v>1644</v>
      </c>
      <c r="G51" s="1343" t="str">
        <f>_xlfn.IFERROR(IF(TITLE_PERIOD_START="","01.01."&amp;CURRENT_YEAR,"01.01."&amp;YEAR(TITLE_PERIOD_START)),"01.01."&amp;CURRENT_YEAR)</f>
        <v>01.01.2025</v>
      </c>
      <c r="H51" s="1343" t="str">
        <f>_xlfn.IFERROR(IF(TITLE_PERIOD_END="","31.12."&amp;CURRENT_YEAR,"31.12."&amp;YEAR(TITLE_PERIOD_END)),"31.12."&amp;CURRENT_YEAR)</f>
        <v>31.12.2028</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1650</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01.01.2025</v>
      </c>
      <c r="H52" s="1343" t="str">
        <f>_xlfn.IFERROR(IF(TITLE_PERIOD_END="","31.12."&amp;CURRENT_YEAR,"31.12."&amp;YEAR(TITLE_PERIOD_END)),"31.12."&amp;CURRENT_YEAR)</f>
        <v>31.12.2028</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1679</v>
      </c>
      <c r="AZ52" s="1347" t="s">
        <v>1221</v>
      </c>
      <c r="BE52" s="1347">
        <v>2050</v>
      </c>
      <c r="BH52" s="1295" t="s">
        <v>1654</v>
      </c>
      <c r="BJ52" s="1444" t="s">
        <v>1049</v>
      </c>
      <c r="BL52" s="1444" t="s">
        <v>1049</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1658</v>
      </c>
      <c r="BJ53" s="1444" t="s">
        <v>1630</v>
      </c>
      <c r="BL53" s="1444" t="s">
        <v>1630</v>
      </c>
    </row>
    <row customHeight="1" ht="11.25">
      <c r="A54" s="1301" t="s">
        <v>1684</v>
      </c>
      <c r="AX54" s="1347" t="s">
        <v>1685</v>
      </c>
      <c r="AZ54" s="1294" t="s">
        <v>1686</v>
      </c>
      <c r="BE54" s="1347">
        <v>2052</v>
      </c>
      <c r="BH54" s="1295" t="s">
        <v>1664</v>
      </c>
      <c r="BJ54" s="1444" t="s">
        <v>1634</v>
      </c>
      <c r="BL54" s="1444" t="s">
        <v>1634</v>
      </c>
    </row>
    <row customHeight="1" ht="11.25">
      <c r="A55" s="1301" t="s">
        <v>1687</v>
      </c>
      <c r="AX55" s="1347" t="s">
        <v>1688</v>
      </c>
      <c r="AZ55" s="1347" t="s">
        <v>1223</v>
      </c>
      <c r="BE55" s="1347">
        <v>2053</v>
      </c>
      <c r="BH55" s="1297" t="s">
        <v>28</v>
      </c>
      <c r="BJ55" s="1444" t="s">
        <v>1050</v>
      </c>
      <c r="BL55" s="1444" t="s">
        <v>1050</v>
      </c>
    </row>
    <row customHeight="1" ht="11.25">
      <c r="A56" s="1301" t="s">
        <v>1689</v>
      </c>
      <c r="D56" s="1345" t="s">
        <v>1690</v>
      </c>
      <c r="E56" s="1322" t="s">
        <v>110</v>
      </c>
      <c r="F56" s="1301" t="s">
        <v>1691</v>
      </c>
      <c r="AX56" s="1347" t="s">
        <v>1692</v>
      </c>
      <c r="AZ56" s="1347" t="s">
        <v>1250</v>
      </c>
      <c r="BE56" s="1347">
        <v>2054</v>
      </c>
      <c r="BH56" s="1297" t="s">
        <v>28</v>
      </c>
      <c r="BJ56" s="1444" t="s">
        <v>1641</v>
      </c>
      <c r="BL56" s="1444" t="s">
        <v>1641</v>
      </c>
    </row>
    <row customHeight="1" ht="11.25">
      <c r="A57" s="1301" t="s">
        <v>1693</v>
      </c>
      <c r="D57" s="1345" t="s">
        <v>1694</v>
      </c>
      <c r="E57" s="1322" t="s">
        <v>110</v>
      </c>
      <c r="F57" s="1301" t="s">
        <v>1691</v>
      </c>
      <c r="AX57" s="1347" t="s">
        <v>1695</v>
      </c>
      <c r="AZ57" s="1347" t="s">
        <v>1285</v>
      </c>
      <c r="BE57" s="1347">
        <v>2055</v>
      </c>
      <c r="BJ57" s="1444" t="s">
        <v>1650</v>
      </c>
      <c r="BL57" s="1444" t="s">
        <v>1650</v>
      </c>
    </row>
    <row customHeight="1" ht="11.25">
      <c r="A58" s="1301" t="s">
        <v>1696</v>
      </c>
      <c r="D58" s="1345" t="s">
        <v>1697</v>
      </c>
      <c r="E58" s="1322" t="s">
        <v>110</v>
      </c>
      <c r="F58" s="1301" t="s">
        <v>1691</v>
      </c>
      <c r="AX58" s="1347" t="s">
        <v>1698</v>
      </c>
      <c r="BE58" s="1347">
        <v>2056</v>
      </c>
      <c r="BJ58" s="1444" t="s">
        <v>1654</v>
      </c>
      <c r="BL58" s="1444" t="s">
        <v>1654</v>
      </c>
    </row>
    <row customHeight="1" ht="11.25">
      <c r="A59" s="1301" t="s">
        <v>1699</v>
      </c>
      <c r="D59" s="1345" t="s">
        <v>130</v>
      </c>
      <c r="E59" s="1322" t="s">
        <v>1586</v>
      </c>
      <c r="F59" s="1301" t="s">
        <v>1700</v>
      </c>
      <c r="AX59" s="1347" t="s">
        <v>1701</v>
      </c>
      <c r="AZ59" s="1294" t="s">
        <v>1702</v>
      </c>
      <c r="BE59" s="1347">
        <v>2057</v>
      </c>
      <c r="BJ59" s="1444" t="s">
        <v>1658</v>
      </c>
      <c r="BL59" s="1444" t="s">
        <v>1658</v>
      </c>
    </row>
    <row customHeight="1" ht="11.25">
      <c r="A60" s="1301" t="s">
        <v>1703</v>
      </c>
      <c r="D60" s="1345" t="s">
        <v>1704</v>
      </c>
      <c r="E60" s="1322" t="s">
        <v>1586</v>
      </c>
      <c r="F60" s="1301" t="s">
        <v>1700</v>
      </c>
      <c r="AX60" s="1347" t="s">
        <v>1705</v>
      </c>
      <c r="AZ60" s="1347" t="s">
        <v>1224</v>
      </c>
      <c r="BE60" s="1347">
        <v>2058</v>
      </c>
      <c r="BJ60" s="1444" t="s">
        <v>1664</v>
      </c>
      <c r="BL60" s="1444" t="s">
        <v>1664</v>
      </c>
    </row>
    <row customHeight="1" ht="11.25">
      <c r="A61" s="1301" t="s">
        <v>1706</v>
      </c>
      <c r="D61" s="1345" t="s">
        <v>1707</v>
      </c>
      <c r="E61" s="1322" t="s">
        <v>1586</v>
      </c>
      <c r="F61" s="1301" t="s">
        <v>1700</v>
      </c>
      <c r="AX61" s="1347" t="s">
        <v>1708</v>
      </c>
      <c r="AZ61" s="1347" t="s">
        <v>1251</v>
      </c>
      <c r="BE61" s="1347">
        <v>2059</v>
      </c>
      <c r="BL61" s="1444" t="s">
        <v>1042</v>
      </c>
    </row>
    <row customHeight="1" ht="11.25">
      <c r="A62" s="1301" t="s">
        <v>1709</v>
      </c>
      <c r="D62" s="1345" t="s">
        <v>129</v>
      </c>
      <c r="E62" s="1322">
        <v>30</v>
      </c>
      <c r="F62" s="1301" t="s">
        <v>1700</v>
      </c>
      <c r="AZ62" s="1347" t="s">
        <v>1286</v>
      </c>
      <c r="BE62" s="1347">
        <v>2060</v>
      </c>
      <c r="BL62" s="1444" t="s">
        <v>1044</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1225</v>
      </c>
      <c r="BE67" s="1347">
        <v>2065</v>
      </c>
    </row>
    <row customHeight="1" ht="11.25">
      <c r="A68" s="1301" t="s">
        <v>1718</v>
      </c>
      <c r="AZ68" s="1347" t="s">
        <v>1252</v>
      </c>
      <c r="BE68" s="1347">
        <v>2066</v>
      </c>
      <c r="BH68" s="1294" t="s">
        <v>1719</v>
      </c>
      <c r="BJ68" s="1294" t="s">
        <v>1720</v>
      </c>
      <c r="BL68" s="1294" t="s">
        <v>1721</v>
      </c>
      <c r="BN68" s="1294" t="s">
        <v>1722</v>
      </c>
    </row>
    <row customHeight="1" ht="11.25">
      <c r="A69" s="1301" t="s">
        <v>1723</v>
      </c>
      <c r="AZ69" s="1347" t="s">
        <v>1287</v>
      </c>
      <c r="BE69" s="1347">
        <v>2067</v>
      </c>
      <c r="BH69" s="1295" t="s">
        <v>1724</v>
      </c>
      <c r="BI69" s="1344" t="s">
        <v>108</v>
      </c>
      <c r="BJ69" s="1295" t="s">
        <v>1725</v>
      </c>
      <c r="BK69" s="1344" t="s">
        <v>108</v>
      </c>
      <c r="BL69" s="1295" t="s">
        <v>1726</v>
      </c>
      <c r="BM69" s="1297" t="s">
        <v>108</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89</v>
      </c>
      <c r="BJ71" s="1295" t="s">
        <v>1735</v>
      </c>
      <c r="BK71" s="1344" t="s">
        <v>89</v>
      </c>
      <c r="BL71" s="1295" t="s">
        <v>1736</v>
      </c>
      <c r="BM71" s="1297" t="s">
        <v>89</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110</v>
      </c>
      <c r="BJ73" s="1295" t="s">
        <v>1743</v>
      </c>
      <c r="BK73" s="1344" t="s">
        <v>110</v>
      </c>
      <c r="BL73" s="1295" t="s">
        <v>1744</v>
      </c>
      <c r="BM73" s="1297" t="s">
        <v>110</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1234</v>
      </c>
      <c r="BH76" s="1295" t="s">
        <v>1755</v>
      </c>
      <c r="BJ76" s="1295" t="s">
        <v>1756</v>
      </c>
      <c r="BL76" s="1295" t="s">
        <v>1757</v>
      </c>
    </row>
    <row customHeight="1" ht="11.25">
      <c r="A77" s="1301" t="s">
        <v>1758</v>
      </c>
      <c r="AZ77" s="1347" t="s">
        <v>1262</v>
      </c>
    </row>
    <row customHeight="1" ht="11.25">
      <c r="A78" s="1301" t="s">
        <v>1759</v>
      </c>
      <c r="AZ78" s="1347" t="s">
        <v>1294</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1020</v>
      </c>
    </row>
    <row customHeight="1" ht="11.25">
      <c r="A91" s="1301" t="s">
        <v>16</v>
      </c>
      <c r="AZ91" s="1347" t="s">
        <v>1056</v>
      </c>
      <c r="BH91" s="1294" t="s">
        <v>1801</v>
      </c>
      <c r="BJ91" s="1294" t="s">
        <v>1802</v>
      </c>
      <c r="BL91" s="1294" t="s">
        <v>1803</v>
      </c>
    </row>
    <row customHeight="1" ht="11.25">
      <c r="AZ92" s="1347" t="s">
        <v>1804</v>
      </c>
      <c r="BH92" s="1295" t="s">
        <v>1805</v>
      </c>
      <c r="BJ92" s="1295" t="s">
        <v>1806</v>
      </c>
      <c r="BL92" s="1295" t="s">
        <v>1807</v>
      </c>
    </row>
    <row customHeight="1" ht="11.25">
      <c r="AZ93" s="1347" t="s">
        <v>1808</v>
      </c>
      <c r="BH93" s="1295" t="s">
        <v>1809</v>
      </c>
      <c r="BJ93" s="1295" t="s">
        <v>1810</v>
      </c>
      <c r="BL93" s="1295" t="s">
        <v>1811</v>
      </c>
    </row>
    <row customHeight="1" ht="11.25">
      <c r="AZ94" s="1347" t="s">
        <v>1812</v>
      </c>
    </row>
    <row r="96" customHeight="1" ht="11.25">
      <c r="AZ96" s="1294" t="s">
        <v>1813</v>
      </c>
      <c r="BH96" s="1294" t="s">
        <v>1814</v>
      </c>
      <c r="BJ96" s="1294" t="s">
        <v>1815</v>
      </c>
      <c r="BL96" s="1294" t="s">
        <v>1816</v>
      </c>
      <c r="BN96" s="1294" t="s">
        <v>1817</v>
      </c>
    </row>
    <row customHeight="1" ht="11.25">
      <c r="AZ97" s="2128" t="s">
        <v>1818</v>
      </c>
      <c r="BA97" s="2129" t="s">
        <v>1819</v>
      </c>
      <c r="BH97" s="1295" t="s">
        <v>1820</v>
      </c>
      <c r="BJ97" s="1295" t="s">
        <v>1821</v>
      </c>
      <c r="BL97" s="1295" t="s">
        <v>1822</v>
      </c>
      <c r="BN97" s="1295" t="s">
        <v>1823</v>
      </c>
    </row>
    <row customHeight="1" ht="11.25">
      <c r="AZ98" s="2128" t="s">
        <v>1824</v>
      </c>
      <c r="BA98" s="2129" t="s">
        <v>1825</v>
      </c>
      <c r="BH98" s="1295" t="s">
        <v>1826</v>
      </c>
      <c r="BJ98" s="1295" t="s">
        <v>1827</v>
      </c>
      <c r="BL98" s="1295" t="s">
        <v>1828</v>
      </c>
      <c r="BN98" s="1295" t="s">
        <v>1829</v>
      </c>
    </row>
    <row customHeight="1" ht="22.5">
      <c r="AZ99" s="2128" t="s">
        <v>1830</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1831</v>
      </c>
      <c r="BJ99" s="1295" t="s">
        <v>1832</v>
      </c>
      <c r="BL99" s="1295" t="s">
        <v>1833</v>
      </c>
      <c r="BN99" s="1295" t="s">
        <v>1834</v>
      </c>
    </row>
    <row customHeight="1" ht="22.5">
      <c r="AZ100" s="2128" t="s">
        <v>1835</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1423</v>
      </c>
      <c r="BL100" s="1295" t="s">
        <v>1423</v>
      </c>
      <c r="BN100" s="1295" t="s">
        <v>1836</v>
      </c>
    </row>
    <row customHeight="1" ht="22.5">
      <c r="AZ101" s="2128" t="s">
        <v>1837</v>
      </c>
      <c r="BA101" s="2129" t="s">
        <v>1838</v>
      </c>
      <c r="BN101" s="1295" t="s">
        <v>1839</v>
      </c>
    </row>
    <row customHeight="1" ht="22.5">
      <c r="AZ102" s="2128" t="s">
        <v>1840</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1841</v>
      </c>
    </row>
    <row customHeight="1" ht="11.25">
      <c r="AZ103" s="2128" t="s">
        <v>1842</v>
      </c>
      <c r="BA103" s="2129" t="s">
        <v>1843</v>
      </c>
      <c r="BN103" s="1295" t="s">
        <v>1844</v>
      </c>
    </row>
    <row customHeight="1" ht="11.25">
      <c r="BN104" s="1295" t="s">
        <v>1845</v>
      </c>
    </row>
    <row customHeight="1" ht="11.25">
      <c r="AZ105" s="1919" t="s">
        <v>1846</v>
      </c>
    </row>
    <row customHeight="1" ht="11.25">
      <c r="AZ106" s="1347" t="s">
        <v>1847</v>
      </c>
    </row>
    <row customHeight="1" ht="11.25">
      <c r="AZ107" s="1347" t="s">
        <v>1848</v>
      </c>
      <c r="BH107" s="1294" t="s">
        <v>1849</v>
      </c>
      <c r="BJ107" s="1294" t="s">
        <v>1850</v>
      </c>
      <c r="BL107" s="1294" t="s">
        <v>1851</v>
      </c>
      <c r="BN107" s="1294" t="s">
        <v>1852</v>
      </c>
    </row>
    <row customHeight="1" ht="11.25">
      <c r="AZ108" s="1347" t="s">
        <v>573</v>
      </c>
      <c r="BH108" s="1295" t="s">
        <v>1853</v>
      </c>
      <c r="BJ108" s="1295" t="s">
        <v>1854</v>
      </c>
      <c r="BL108" s="1295" t="s">
        <v>1509</v>
      </c>
      <c r="BN108" s="1295" t="s">
        <v>1855</v>
      </c>
    </row>
    <row customHeight="1" ht="11.25">
      <c r="BH109" s="1295" t="s">
        <v>1856</v>
      </c>
    </row>
    <row customHeight="1" ht="11.25">
      <c r="AZ110" s="1919" t="s">
        <v>1857</v>
      </c>
      <c r="BH110" s="1295" t="s">
        <v>1856</v>
      </c>
    </row>
    <row customHeight="1" ht="11.25">
      <c r="AZ111" s="2128" t="s">
        <v>1818</v>
      </c>
      <c r="BA111" s="2129" t="s">
        <v>1819</v>
      </c>
    </row>
    <row customHeight="1" ht="11.25">
      <c r="AZ112" s="2128" t="s">
        <v>1824</v>
      </c>
      <c r="BA112" s="2129" t="s">
        <v>1825</v>
      </c>
    </row>
    <row customHeight="1" ht="22.5">
      <c r="AZ113" s="2128" t="s">
        <v>1830</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1835</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1858</v>
      </c>
    </row>
    <row customHeight="1" ht="22.5">
      <c r="AZ115" s="2128" t="s">
        <v>1840</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1221</v>
      </c>
    </row>
    <row customHeight="1" ht="11.25">
      <c r="AZ116" s="2128" t="s">
        <v>1842</v>
      </c>
      <c r="BA116" s="2129" t="s">
        <v>1843</v>
      </c>
      <c r="BH116" s="1295" t="s">
        <v>1248</v>
      </c>
    </row>
    <row customHeight="1" ht="11.25">
      <c r="BH117" s="1295" t="s">
        <v>1283</v>
      </c>
    </row>
    <row customHeight="1" ht="11.25">
      <c r="BH118" s="129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17918-6668-25D5-65F8-E7B8A2091946}" mc:Ignorable="x14ac xr xr2 xr3">
  <dimension ref="A1:J25"/>
  <sheetViews>
    <sheetView topLeftCell="A1" showGridLines="0" zoomScale="90" workbookViewId="0">
      <selection activeCell="A1" sqref="A1"/>
    </sheetView>
  </sheetViews>
  <sheetFormatPr defaultColWidth="9.140625" customHeight="1" defaultRowHeight="11.25"/>
  <cols>
    <col min="1" max="2" style="11719" width="15.00390625" hidden="1" customWidth="1"/>
    <col min="3" max="3" style="11763" width="3.00390625" customWidth="1"/>
    <col min="4" max="4" style="11764" width="6.00390625" customWidth="1"/>
    <col min="5" max="5" style="11763" width="52.00390625" customWidth="1"/>
    <col min="6" max="6" style="11763" width="48.00390625" customWidth="1"/>
    <col min="7" max="7" style="11763" width="93.00390625" customWidth="1"/>
    <col min="8" max="8" style="11763" width="8.00390625" customWidth="1"/>
    <col min="9" max="9" style="11763" width="64.00390625" customWidth="1"/>
    <col min="10" max="10" style="11763" width="9.140625" hidden="1"/>
  </cols>
  <sheetData>
    <row customHeight="1" ht="11.25" hidden="1">
      <c r="A1" s="728" t="s">
        <v>301</v>
      </c>
      <c r="J1" s="682" t="s">
        <v>14</v>
      </c>
    </row>
    <row customHeight="1" ht="22.5" hidden="1">
      <c r="A2" s="729"/>
      <c r="B2" s="729"/>
      <c r="C2" s="1957" t="s">
        <v>531</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Ярославская область</v>
      </c>
      <c r="E6" s="2403"/>
      <c r="F6" s="2403"/>
      <c r="I6" s="942"/>
      <c r="J6" s="682">
        <v>17</v>
      </c>
    </row>
    <row s="11678"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302</v>
      </c>
      <c r="E9" s="2432"/>
      <c r="F9" s="2432"/>
      <c r="G9" s="2435" t="s">
        <v>303</v>
      </c>
      <c r="J9" s="682">
        <v>11</v>
      </c>
    </row>
    <row customHeight="1" ht="11.549999999999999">
      <c r="A10" s="729"/>
      <c r="B10" s="729"/>
      <c r="C10" s="684"/>
      <c r="D10" s="1701" t="s">
        <v>87</v>
      </c>
      <c r="E10" s="1703" t="s">
        <v>304</v>
      </c>
      <c r="F10" s="1703" t="s">
        <v>305</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ООО "Рыбинская генерация"</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1859</v>
      </c>
      <c r="F13" s="1748" t="s">
        <v>308</v>
      </c>
      <c r="G13" s="701"/>
      <c r="H13" s="1760"/>
      <c r="J13" s="682">
        <v>19</v>
      </c>
    </row>
    <row customHeight="1" ht="19.95">
      <c r="A14" s="729"/>
      <c r="B14" s="729"/>
      <c r="C14" s="684"/>
      <c r="D14" s="1750" t="s">
        <v>710</v>
      </c>
      <c r="E14" s="1751" t="s">
        <v>1860</v>
      </c>
      <c r="F14" s="1753"/>
      <c r="G14" s="1752" t="s">
        <v>1861</v>
      </c>
      <c r="H14" s="1760"/>
      <c r="J14" s="682">
        <v>19</v>
      </c>
    </row>
    <row customHeight="1" ht="19.95">
      <c r="A15" s="729"/>
      <c r="B15" s="729"/>
      <c r="C15" s="684"/>
      <c r="D15" s="1750" t="s">
        <v>309</v>
      </c>
      <c r="E15" s="1751" t="s">
        <v>1862</v>
      </c>
      <c r="F15" s="1753"/>
      <c r="G15" s="1752" t="s">
        <v>1863</v>
      </c>
      <c r="H15" s="1760"/>
      <c r="J15" s="682">
        <v>19</v>
      </c>
    </row>
    <row customHeight="1" ht="24">
      <c r="A16" s="729"/>
      <c r="B16" s="729"/>
      <c r="C16" s="684"/>
      <c r="D16" s="1750" t="s">
        <v>312</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90</v>
      </c>
      <c r="E18" s="1754" t="s">
        <v>1868</v>
      </c>
      <c r="F18" s="1753"/>
      <c r="G18" s="701" t="s">
        <v>1867</v>
      </c>
      <c r="H18" s="1760"/>
      <c r="I18" s="1079"/>
      <c r="J18" s="682">
        <v>46</v>
      </c>
    </row>
    <row customHeight="1" ht="23.25">
      <c r="A19" s="729"/>
      <c r="B19" s="729"/>
      <c r="C19" s="684"/>
      <c r="D19" s="1747" t="s">
        <v>110</v>
      </c>
      <c r="E19" s="1754" t="s">
        <v>1869</v>
      </c>
      <c r="F19" s="1748" t="s">
        <v>308</v>
      </c>
      <c r="G19" s="2698" t="s">
        <v>1870</v>
      </c>
      <c r="H19" s="702"/>
      <c r="J19" s="682">
        <v>22</v>
      </c>
    </row>
    <row s="13526" customFormat="1" customHeight="1" ht="5.25" hidden="1">
      <c r="A20" s="729"/>
      <c r="B20" s="729"/>
      <c r="C20" s="1756"/>
      <c r="D20" s="1755" t="s">
        <v>1117</v>
      </c>
      <c r="E20" s="1241"/>
      <c r="F20" s="1240"/>
      <c r="G20" s="2699"/>
      <c r="J20" s="1757">
        <v>0</v>
      </c>
    </row>
    <row customHeight="1" ht="15.75">
      <c r="A21" s="729"/>
      <c r="B21" s="729"/>
      <c r="C21" s="684"/>
      <c r="D21" s="694"/>
      <c r="E21" s="642" t="s">
        <v>341</v>
      </c>
      <c r="F21" s="696"/>
      <c r="G21" s="2700"/>
      <c r="H21" s="1760"/>
      <c r="J21" s="682">
        <v>15</v>
      </c>
    </row>
    <row s="11719" customFormat="1" customHeight="1" ht="26.25">
      <c r="A22" s="729"/>
      <c r="B22" s="729"/>
      <c r="C22" s="729"/>
      <c r="D22" s="1747" t="s">
        <v>91</v>
      </c>
      <c r="E22" s="701" t="s">
        <v>1871</v>
      </c>
      <c r="F22" s="1753"/>
      <c r="G22" s="701" t="s">
        <v>1872</v>
      </c>
      <c r="H22" s="1759"/>
      <c r="J22" s="728">
        <v>25</v>
      </c>
    </row>
    <row s="11719" customFormat="1" customHeight="1" ht="19.95">
      <c r="A23" s="729"/>
      <c r="B23" s="729"/>
      <c r="C23" s="729"/>
      <c r="D23" s="1747" t="s">
        <v>92</v>
      </c>
      <c r="E23" s="1754" t="s">
        <v>1873</v>
      </c>
      <c r="F23" s="1758"/>
      <c r="G23" s="701" t="s">
        <v>1874</v>
      </c>
      <c r="H23" s="1759"/>
      <c r="J23" s="728">
        <v>19</v>
      </c>
    </row>
    <row s="11719"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B6498-D9B6-2748-1CA8-9E1C3D128E38}" mc:Ignorable="x14ac xr xr2 xr3">
  <dimension ref="A1:IU24"/>
  <sheetViews>
    <sheetView topLeftCell="A1" showGridLines="0" zoomScale="90" workbookViewId="0">
      <selection activeCell="A1" sqref="A1"/>
    </sheetView>
  </sheetViews>
  <sheetFormatPr defaultColWidth="9.140625" customHeight="1" defaultRowHeight="14.25"/>
  <cols>
    <col min="1" max="1" style="11160" width="9.140625" hidden="1"/>
    <col min="2" max="2" style="11238" width="9.140625" hidden="1"/>
    <col min="3" max="3" style="11160" width="3.7109375" hidden="1" customWidth="1"/>
    <col min="4" max="4" style="11327" width="3.00390625" customWidth="1"/>
    <col min="5" max="5" style="11160" width="6.00390625" customWidth="1"/>
    <col min="6" max="6" style="11160" width="46.00390625" customWidth="1"/>
    <col min="7" max="8" style="11160" width="16.00390625" customWidth="1"/>
    <col min="9" max="9" style="11160" width="35.00390625" customWidth="1"/>
    <col min="10" max="10" style="11160" width="89.00390625" customWidth="1"/>
    <col min="11" max="11" style="11328" width="3.00390625" customWidth="1"/>
    <col min="12" max="14" style="11328" width="8.00390625" customWidth="1"/>
    <col min="15" max="15" style="11328" width="25.00390625" customWidth="1"/>
    <col min="16" max="16" style="11328" width="14.00390625" customWidth="1"/>
    <col min="17" max="20" style="11329" width="8.00390625" customWidth="1"/>
    <col min="21" max="254" style="11160" width="8.00390625" customWidth="1"/>
    <col min="255" max="255" style="11160" width="9.140625" hidden="1"/>
  </cols>
  <sheetData>
    <row customHeight="1" ht="22.5" hidden="1">
      <c r="F1" s="1858" t="s">
        <v>1875</v>
      </c>
      <c r="G1" s="1858" t="s">
        <v>48</v>
      </c>
      <c r="H1" s="1858" t="s">
        <v>50</v>
      </c>
      <c r="IU1" s="1382" t="s">
        <v>14</v>
      </c>
    </row>
    <row s="11299" customFormat="1" customHeight="1" ht="22.5" hidden="1">
      <c r="A2" s="1058"/>
      <c r="B2" s="1387">
        <v>1</v>
      </c>
      <c r="C2" s="1387"/>
      <c r="D2" s="2155" t="s">
        <v>531</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39"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54"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54"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254"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54" customFormat="1" customHeight="1" ht="14.699999999999998">
      <c r="A7" s="1382"/>
      <c r="B7" s="1387"/>
      <c r="C7" s="1382"/>
      <c r="D7" s="1722"/>
      <c r="E7" s="2328" t="s">
        <v>302</v>
      </c>
      <c r="F7" s="2329"/>
      <c r="G7" s="2329"/>
      <c r="H7" s="2329"/>
      <c r="I7" s="2329"/>
      <c r="J7" s="2701" t="s">
        <v>303</v>
      </c>
      <c r="K7" s="727"/>
      <c r="L7" s="727"/>
      <c r="M7" s="727"/>
      <c r="N7" s="727"/>
      <c r="O7" s="453"/>
      <c r="P7" s="727"/>
      <c r="Q7" s="452"/>
      <c r="R7" s="452"/>
      <c r="S7" s="452"/>
      <c r="T7" s="452"/>
      <c r="IU7" s="734">
        <v>14</v>
      </c>
    </row>
    <row s="11254" customFormat="1" customHeight="1" ht="21">
      <c r="A8" s="1382"/>
      <c r="B8" s="1387"/>
      <c r="C8" s="1382"/>
      <c r="D8" s="1722"/>
      <c r="E8" s="1775" t="s">
        <v>87</v>
      </c>
      <c r="F8" s="1767" t="s">
        <v>1875</v>
      </c>
      <c r="G8" s="1767" t="s">
        <v>48</v>
      </c>
      <c r="H8" s="1767" t="s">
        <v>50</v>
      </c>
      <c r="I8" s="1767" t="s">
        <v>1876</v>
      </c>
      <c r="J8" s="2702"/>
      <c r="K8" s="727"/>
      <c r="L8" s="727"/>
      <c r="M8" s="727"/>
      <c r="N8" s="727"/>
      <c r="O8" s="453"/>
      <c r="P8" s="727"/>
      <c r="Q8" s="452"/>
      <c r="R8" s="452"/>
      <c r="S8" s="452"/>
      <c r="T8" s="452"/>
      <c r="IU8" s="734">
        <v>20</v>
      </c>
    </row>
    <row s="11299"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299" customFormat="1" customHeight="1" ht="15.75">
      <c r="A10" s="1858"/>
      <c r="B10" s="1387"/>
      <c r="C10" s="639"/>
      <c r="D10" s="1028"/>
      <c r="E10" s="1768"/>
      <c r="F10" s="1727" t="s">
        <v>1877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54"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54"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54"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22" customFormat="1" customHeight="1" ht="10.5">
      <c r="B14" s="1061"/>
      <c r="D14" s="409"/>
      <c r="K14" s="727"/>
      <c r="L14" s="727"/>
      <c r="M14" s="727"/>
      <c r="N14" s="727"/>
      <c r="O14" s="453"/>
      <c r="P14" s="727"/>
      <c r="Q14" s="452"/>
      <c r="R14" s="452"/>
      <c r="S14" s="452"/>
      <c r="T14" s="452"/>
      <c r="IU14" s="408">
        <v>10</v>
      </c>
    </row>
    <row s="11322"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08F02-C3E6-5A38-9BE8-C70A778DBA7A}" mc:Ignorable="x14ac xr xr2 xr3">
  <dimension ref="A1:IW15"/>
  <sheetViews>
    <sheetView topLeftCell="A1" showGridLines="0" zoomScale="90" workbookViewId="0">
      <selection activeCell="A1" sqref="A1"/>
    </sheetView>
  </sheetViews>
  <sheetFormatPr defaultColWidth="9.140625" customHeight="1" defaultRowHeight="14.25"/>
  <cols>
    <col min="1" max="1" style="11160" width="9.140625" hidden="1"/>
    <col min="2" max="2" style="11238" width="9.140625" hidden="1"/>
    <col min="3" max="3" style="11160" width="3.7109375" hidden="1" customWidth="1"/>
    <col min="4" max="4" style="11327" width="3.00390625" customWidth="1"/>
    <col min="5" max="5" style="11160" width="6.00390625" customWidth="1"/>
    <col min="6" max="6" style="11160" width="27.00390625" customWidth="1"/>
    <col min="7" max="7" style="11160" width="16.00390625" customWidth="1"/>
    <col min="8" max="8" style="11160" width="12.00390625" customWidth="1"/>
    <col min="9" max="9" style="11160" width="32.00390625" customWidth="1"/>
    <col min="10" max="11" style="11160" width="41.00390625" customWidth="1"/>
    <col min="12" max="12" style="11160" width="89.00390625" customWidth="1"/>
    <col min="13" max="13" style="11328" width="3.00390625" customWidth="1"/>
    <col min="14" max="16" style="11328" width="8.00390625" customWidth="1"/>
    <col min="17" max="17" style="11328" width="25.00390625" customWidth="1"/>
    <col min="18" max="18" style="11328" width="14.00390625" customWidth="1"/>
    <col min="19" max="22" style="11329" width="8.00390625" customWidth="1"/>
    <col min="23" max="256" style="11160" width="8.00390625" customWidth="1"/>
    <col min="257" max="257" style="11160" width="9.140625" hidden="1"/>
  </cols>
  <sheetData>
    <row customHeight="1" ht="22.5" hidden="1">
      <c r="IW1" s="1382" t="s">
        <v>14</v>
      </c>
    </row>
    <row s="11299" customFormat="1" customHeight="1" ht="22.5" hidden="1">
      <c r="A2" s="1058"/>
      <c r="B2" s="1387">
        <v>1</v>
      </c>
      <c r="C2" s="1387"/>
      <c r="D2" s="2155" t="s">
        <v>531</v>
      </c>
      <c r="E2" s="2116"/>
      <c r="F2" s="2119" t="str">
        <f>IF(ROIV_INFO_NAME="","",ROIV_INFO_NAME)</f>
        <v>ООО "Рыбинская генерация"</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39"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54"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54"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1254"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54" customFormat="1" customHeight="1" ht="14.699999999999998">
      <c r="A7" s="1382"/>
      <c r="B7" s="1387"/>
      <c r="C7" s="1382"/>
      <c r="D7" s="1722"/>
      <c r="E7" s="2328" t="s">
        <v>302</v>
      </c>
      <c r="F7" s="2329"/>
      <c r="G7" s="2329"/>
      <c r="H7" s="2329"/>
      <c r="I7" s="2329"/>
      <c r="J7" s="2329"/>
      <c r="K7" s="2329"/>
      <c r="L7" s="2701" t="s">
        <v>303</v>
      </c>
      <c r="M7" s="727"/>
      <c r="N7" s="727"/>
      <c r="O7" s="727"/>
      <c r="P7" s="727"/>
      <c r="Q7" s="453"/>
      <c r="R7" s="727"/>
      <c r="S7" s="452"/>
      <c r="T7" s="452"/>
      <c r="U7" s="452"/>
      <c r="V7" s="452"/>
      <c r="IW7" s="734">
        <v>14</v>
      </c>
    </row>
    <row s="11254"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254"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1299" customFormat="1" customHeight="1" ht="23.25">
      <c r="A10" s="2326"/>
      <c r="B10" s="1387">
        <v>1</v>
      </c>
      <c r="C10" s="1387"/>
      <c r="D10" s="1027"/>
      <c r="E10" s="1025">
        <v>1</v>
      </c>
      <c r="F10" s="1766" t="str">
        <f>IF(ROIV_INFO_NAME="","",ROIV_INFO_NAME)</f>
        <v>ООО "Рыбинская генерация"</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299"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54"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54"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54"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94D7F-E8AE-FBEB-94A7-E074271C709C}" mc:Ignorable="x14ac xr xr2 xr3">
  <dimension ref="A1:IW15"/>
  <sheetViews>
    <sheetView topLeftCell="A1" showGridLines="0" zoomScale="90" workbookViewId="0">
      <selection activeCell="A1" sqref="A1"/>
    </sheetView>
  </sheetViews>
  <sheetFormatPr defaultColWidth="9.140625" customHeight="1" defaultRowHeight="14.25"/>
  <cols>
    <col min="1" max="1" style="11160" width="9.140625" hidden="1"/>
    <col min="2" max="2" style="11238" width="9.140625" hidden="1"/>
    <col min="3" max="3" style="11160" width="3.7109375" hidden="1" customWidth="1"/>
    <col min="4" max="4" style="11327" width="3.00390625" customWidth="1"/>
    <col min="5" max="5" style="11160" width="6.00390625" customWidth="1"/>
    <col min="6" max="6" style="11160" width="27.00390625" customWidth="1"/>
    <col min="7" max="7" style="11160" width="16.00390625" customWidth="1"/>
    <col min="8" max="8" style="11160" width="12.00390625" customWidth="1"/>
    <col min="9" max="9" style="11160" width="32.00390625" customWidth="1"/>
    <col min="10" max="11" style="11160" width="41.00390625" customWidth="1"/>
    <col min="12" max="12" style="11160" width="89.00390625" customWidth="1"/>
    <col min="13" max="13" style="11328" width="3.00390625" customWidth="1"/>
    <col min="14" max="16" style="11328" width="8.00390625" customWidth="1"/>
    <col min="17" max="17" style="11328" width="25.00390625" customWidth="1"/>
    <col min="18" max="18" style="11328" width="14.00390625" customWidth="1"/>
    <col min="19" max="22" style="11329" width="8.00390625" customWidth="1"/>
    <col min="23" max="256" style="11160" width="8.00390625" customWidth="1"/>
    <col min="257" max="257" style="11160" width="9.140625" hidden="1"/>
  </cols>
  <sheetData>
    <row customHeight="1" ht="22.5" hidden="1">
      <c r="IW1" s="1858" t="s">
        <v>14</v>
      </c>
    </row>
    <row s="11299" customFormat="1" customHeight="1" ht="22.5" hidden="1">
      <c r="A2" s="1058"/>
      <c r="B2" s="1593">
        <v>1</v>
      </c>
      <c r="C2" s="1593"/>
      <c r="D2" s="2155" t="s">
        <v>531</v>
      </c>
      <c r="E2" s="2131"/>
      <c r="F2" s="2133" t="str">
        <f>IF(ROIV_INFO_NAME="","",ROIV_INFO_NAME)</f>
        <v>ООО "Рыбинская генерация"</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39"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54"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54"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1254"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54" customFormat="1" customHeight="1" ht="14.699999999999998">
      <c r="A7" s="1858"/>
      <c r="B7" s="1593"/>
      <c r="C7" s="1858"/>
      <c r="D7" s="1742"/>
      <c r="E7" s="2328" t="s">
        <v>302</v>
      </c>
      <c r="F7" s="2329"/>
      <c r="G7" s="2329"/>
      <c r="H7" s="2329"/>
      <c r="I7" s="2329"/>
      <c r="J7" s="2329"/>
      <c r="K7" s="2329"/>
      <c r="L7" s="2701" t="s">
        <v>303</v>
      </c>
      <c r="M7" s="1851"/>
      <c r="N7" s="1851"/>
      <c r="O7" s="1851"/>
      <c r="P7" s="1851"/>
      <c r="Q7" s="1851"/>
      <c r="R7" s="1851"/>
      <c r="S7" s="452"/>
      <c r="T7" s="452"/>
      <c r="U7" s="452"/>
      <c r="V7" s="452"/>
      <c r="IW7" s="1836">
        <v>14</v>
      </c>
    </row>
    <row s="11254" customFormat="1" customHeight="1" ht="67.2">
      <c r="A8" s="1858"/>
      <c r="B8" s="1593"/>
      <c r="C8" s="1858"/>
      <c r="D8" s="1742"/>
      <c r="E8" s="2705" t="s">
        <v>87</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254"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1299" customFormat="1" customHeight="1" ht="1.05">
      <c r="A10" s="2326"/>
      <c r="B10" s="1593">
        <v>1</v>
      </c>
      <c r="C10" s="1593"/>
      <c r="D10" s="1027"/>
      <c r="E10" s="1022">
        <v>0</v>
      </c>
      <c r="F10" s="2118" t="str">
        <f>IF(ROIV_INFO_NAME="","",ROIV_INFO_NAME)</f>
        <v>ООО "Рыбинская генерация"</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299"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54"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54"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54"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90978-F138-C673-1F55-5A5BF8674824}" mc:Ignorable="x14ac xr xr2 xr3">
  <dimension ref="A1:Q19"/>
  <sheetViews>
    <sheetView topLeftCell="A1" showGridLines="0" zoomScale="90" workbookViewId="0">
      <selection activeCell="A1" sqref="A1"/>
    </sheetView>
  </sheetViews>
  <sheetFormatPr defaultColWidth="9.140625" customHeight="1" defaultRowHeight="14.25"/>
  <cols>
    <col min="1" max="1" style="11160" width="9.140625" hidden="1"/>
    <col min="2" max="2" style="11238" width="9.140625" hidden="1"/>
    <col min="3" max="3" style="11160" width="3.7109375" hidden="1" customWidth="1"/>
    <col min="4" max="4" style="11327" width="3.00390625" customWidth="1"/>
    <col min="5" max="5" style="11160" width="6.00390625" customWidth="1"/>
    <col min="6" max="6" style="11160" width="27.00390625" customWidth="1"/>
    <col min="7" max="7" style="11160" width="29.00390625" customWidth="1"/>
    <col min="8" max="8" style="11160" width="25.00390625" customWidth="1"/>
    <col min="9" max="9" style="11160" width="5.00390625" customWidth="1"/>
    <col min="10" max="10" style="11160" width="6.00390625" customWidth="1"/>
    <col min="11" max="11" style="11160" width="41.00390625" customWidth="1"/>
    <col min="12" max="12" style="11160" width="42.00390625" customWidth="1"/>
    <col min="13" max="13" style="11160" width="41.00390625" customWidth="1"/>
    <col min="14" max="14" style="11160" width="89.00390625" customWidth="1"/>
    <col min="15" max="15" style="11328" width="3.00390625" customWidth="1"/>
    <col min="16" max="16" style="11328" width="8.00390625" customWidth="1"/>
    <col min="17" max="17" style="11160" width="9.140625" hidden="1"/>
  </cols>
  <sheetData>
    <row customHeight="1" ht="22.5" hidden="1">
      <c r="Q1" s="1382" t="s">
        <v>14</v>
      </c>
    </row>
    <row s="11299" customFormat="1" customHeight="1" ht="22.5" hidden="1">
      <c r="A2" s="723"/>
      <c r="B2" s="1387">
        <v>1</v>
      </c>
      <c r="C2" s="1387"/>
      <c r="D2" s="2155" t="s">
        <v>531</v>
      </c>
      <c r="E2" s="2354">
        <v>1</v>
      </c>
      <c r="F2" s="2530" t="str">
        <f>IF(region_name="","",region_name)</f>
        <v>Ярославская область</v>
      </c>
      <c r="G2" s="2710"/>
      <c r="H2" s="2711"/>
      <c r="I2" s="701"/>
      <c r="J2" s="2137">
        <v>1</v>
      </c>
      <c r="K2" s="2139"/>
      <c r="L2" s="2139"/>
      <c r="M2" s="2139"/>
      <c r="N2" s="719"/>
      <c r="O2" s="1762"/>
      <c r="P2" s="738"/>
      <c r="Q2" s="650">
        <v>0</v>
      </c>
    </row>
    <row s="11299" customFormat="1" customHeight="1" ht="22.5" hidden="1">
      <c r="A3" s="1058"/>
      <c r="B3" s="1387"/>
      <c r="C3" s="1387"/>
      <c r="D3" s="1028"/>
      <c r="E3" s="2354"/>
      <c r="F3" s="2530"/>
      <c r="G3" s="2710"/>
      <c r="H3" s="2712"/>
      <c r="I3" s="648"/>
      <c r="J3" s="1727"/>
      <c r="K3" s="1727" t="s">
        <v>1885</v>
      </c>
      <c r="L3" s="1770"/>
      <c r="M3" s="2147"/>
      <c r="N3" s="2140"/>
      <c r="O3" s="1762"/>
      <c r="P3" s="738"/>
      <c r="Q3" s="650">
        <v>0</v>
      </c>
    </row>
    <row s="11239" customFormat="1" customHeight="1" ht="5.25" hidden="1">
      <c r="A4" s="723"/>
      <c r="D4" s="721"/>
      <c r="F4" s="474" t="s">
        <v>82</v>
      </c>
      <c r="G4" s="721" t="s">
        <v>83</v>
      </c>
      <c r="H4" s="721"/>
      <c r="I4" s="2150"/>
      <c r="J4" s="1771"/>
      <c r="K4" s="2138"/>
      <c r="L4" s="2138"/>
      <c r="M4" s="2138"/>
      <c r="N4" s="2134"/>
      <c r="O4" s="474" t="s">
        <v>82</v>
      </c>
      <c r="P4" s="474"/>
      <c r="Q4" s="738">
        <v>0</v>
      </c>
    </row>
    <row s="11299" customFormat="1" customHeight="1" ht="22.5" hidden="1">
      <c r="A5" s="1868"/>
      <c r="B5" s="1593">
        <v>1</v>
      </c>
      <c r="C5" s="1593"/>
      <c r="D5" s="1028"/>
      <c r="E5" s="2140"/>
      <c r="F5" s="2140"/>
      <c r="G5" s="2140"/>
      <c r="H5" s="2151"/>
      <c r="I5" s="2156" t="s">
        <v>531</v>
      </c>
      <c r="J5" s="2149">
        <v>1</v>
      </c>
      <c r="K5" s="2139"/>
      <c r="L5" s="2139"/>
      <c r="M5" s="2139"/>
      <c r="N5" s="719"/>
      <c r="O5" s="1762"/>
      <c r="P5" s="1863"/>
      <c r="Q5" s="851">
        <v>0</v>
      </c>
    </row>
    <row s="11254" customFormat="1" customHeight="1" ht="14.699999999999998">
      <c r="A6" s="1382"/>
      <c r="B6" s="1387"/>
      <c r="C6" s="1382"/>
      <c r="D6" s="1722"/>
      <c r="E6" s="736"/>
      <c r="F6" s="736"/>
      <c r="G6" s="736"/>
      <c r="H6" s="736"/>
      <c r="I6" s="736"/>
      <c r="J6" s="736"/>
      <c r="K6" s="736"/>
      <c r="L6" s="736"/>
      <c r="M6" s="736"/>
      <c r="N6" s="1862"/>
      <c r="O6" s="474"/>
      <c r="P6" s="727"/>
      <c r="Q6" s="734">
        <v>14</v>
      </c>
    </row>
    <row s="11254"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254" customFormat="1" customHeight="1" ht="14.699999999999998">
      <c r="A8" s="1382"/>
      <c r="B8" s="1387"/>
      <c r="C8" s="1382"/>
      <c r="D8" s="1722"/>
      <c r="E8" s="736"/>
      <c r="F8" s="394"/>
      <c r="G8" s="394"/>
      <c r="H8" s="394"/>
      <c r="I8" s="394"/>
      <c r="J8" s="394"/>
      <c r="K8" s="394"/>
      <c r="L8" s="394"/>
      <c r="M8" s="394"/>
      <c r="N8" s="843"/>
      <c r="O8" s="727"/>
      <c r="P8" s="727"/>
      <c r="Q8" s="734">
        <v>14</v>
      </c>
    </row>
    <row s="13593" customFormat="1" customHeight="1" ht="14.25" hidden="1">
      <c r="A9" s="1695"/>
      <c r="B9" s="1705"/>
      <c r="C9" s="1695"/>
      <c r="D9" s="1722"/>
      <c r="E9" s="2141"/>
      <c r="F9" s="2141"/>
      <c r="G9" s="2141"/>
      <c r="H9" s="2141"/>
      <c r="I9" s="2720"/>
      <c r="J9" s="2720"/>
      <c r="K9" s="2720"/>
      <c r="L9" s="2141"/>
      <c r="M9" s="2142"/>
      <c r="O9" s="1772"/>
      <c r="P9" s="1772"/>
      <c r="Q9" s="1773">
        <v>0</v>
      </c>
    </row>
    <row s="11254" customFormat="1" customHeight="1" ht="14.699999999999998">
      <c r="A10" s="1382"/>
      <c r="B10" s="1387"/>
      <c r="C10" s="1382"/>
      <c r="D10" s="1722"/>
      <c r="E10" s="2354" t="s">
        <v>302</v>
      </c>
      <c r="F10" s="2354"/>
      <c r="G10" s="2354"/>
      <c r="H10" s="2354"/>
      <c r="I10" s="2354"/>
      <c r="J10" s="2354"/>
      <c r="K10" s="2354"/>
      <c r="L10" s="2354"/>
      <c r="M10" s="2328"/>
      <c r="N10" s="2705" t="s">
        <v>303</v>
      </c>
      <c r="O10" s="727"/>
      <c r="P10" s="727"/>
      <c r="Q10" s="734">
        <v>14</v>
      </c>
    </row>
    <row s="11254" customFormat="1" customHeight="1" ht="44.25">
      <c r="A11" s="1858"/>
      <c r="B11" s="1593"/>
      <c r="C11" s="1858"/>
      <c r="D11" s="1742"/>
      <c r="E11" s="2719" t="s">
        <v>87</v>
      </c>
      <c r="F11" s="2719" t="s">
        <v>306</v>
      </c>
      <c r="G11" s="2719" t="s">
        <v>1886</v>
      </c>
      <c r="H11" s="2719"/>
      <c r="I11" s="2719" t="s">
        <v>1887</v>
      </c>
      <c r="J11" s="2719"/>
      <c r="K11" s="2719"/>
      <c r="L11" s="2719" t="s">
        <v>1888</v>
      </c>
      <c r="M11" s="2707" t="s">
        <v>1889</v>
      </c>
      <c r="N11" s="2718"/>
      <c r="O11" s="1851"/>
      <c r="P11" s="1851"/>
      <c r="Q11" s="1836">
        <v>42</v>
      </c>
    </row>
    <row s="11254" customFormat="1" customHeight="1" ht="29.25">
      <c r="A12" s="1382"/>
      <c r="B12" s="1387"/>
      <c r="C12" s="1382"/>
      <c r="D12" s="1722"/>
      <c r="E12" s="2705"/>
      <c r="F12" s="2719"/>
      <c r="G12" s="2136" t="s">
        <v>1890</v>
      </c>
      <c r="H12" s="2136" t="s">
        <v>310</v>
      </c>
      <c r="I12" s="2719"/>
      <c r="J12" s="2719"/>
      <c r="K12" s="2719"/>
      <c r="L12" s="2719"/>
      <c r="M12" s="2707"/>
      <c r="N12" s="2706"/>
      <c r="O12" s="727"/>
      <c r="P12" s="727"/>
      <c r="Q12" s="734">
        <v>28</v>
      </c>
    </row>
    <row s="11299" customFormat="1" customHeight="1" ht="23.25">
      <c r="A13" s="2326">
        <v>26379339</v>
      </c>
      <c r="B13" s="1387">
        <v>1</v>
      </c>
      <c r="C13" s="1387"/>
      <c r="D13" s="1028"/>
      <c r="E13" s="2354">
        <v>1</v>
      </c>
      <c r="F13" s="2713" t="str">
        <f>IF(region_name="","",region_name)</f>
        <v>Ярославская область</v>
      </c>
      <c r="G13" s="2714"/>
      <c r="H13" s="2721"/>
      <c r="I13" s="701"/>
      <c r="J13" s="2132">
        <v>1</v>
      </c>
      <c r="K13" s="2145"/>
      <c r="L13" s="2146"/>
      <c r="M13" s="2146"/>
      <c r="N13" s="2715" t="s">
        <v>1891</v>
      </c>
      <c r="O13" s="1762"/>
      <c r="P13" s="738"/>
      <c r="Q13" s="650">
        <v>22</v>
      </c>
    </row>
    <row s="11299" customFormat="1" customHeight="1" ht="23.25">
      <c r="A14" s="2326"/>
      <c r="B14" s="1387"/>
      <c r="C14" s="1387"/>
      <c r="D14" s="1028"/>
      <c r="E14" s="2354"/>
      <c r="F14" s="2713"/>
      <c r="G14" s="2714"/>
      <c r="H14" s="2722"/>
      <c r="I14" s="648"/>
      <c r="J14" s="1727"/>
      <c r="K14" s="1727" t="s">
        <v>1885</v>
      </c>
      <c r="L14" s="1770"/>
      <c r="M14" s="1770"/>
      <c r="N14" s="2716"/>
      <c r="O14" s="1762"/>
      <c r="P14" s="738"/>
      <c r="Q14" s="650">
        <v>22</v>
      </c>
    </row>
    <row s="11299" customFormat="1" customHeight="1" ht="23.25">
      <c r="A15" s="2326"/>
      <c r="B15" s="1387"/>
      <c r="C15" s="639"/>
      <c r="D15" s="1028"/>
      <c r="E15" s="648"/>
      <c r="F15" s="1727" t="s">
        <v>1877</v>
      </c>
      <c r="G15" s="1769"/>
      <c r="H15" s="1769"/>
      <c r="I15" s="414"/>
      <c r="J15" s="414"/>
      <c r="K15" s="414"/>
      <c r="L15" s="414"/>
      <c r="M15" s="414"/>
      <c r="N15" s="2716"/>
      <c r="O15" s="1763"/>
      <c r="P15" s="738"/>
      <c r="Q15" s="650">
        <v>22</v>
      </c>
    </row>
    <row s="11254" customFormat="1" customHeight="1" ht="22.049999999999997">
      <c r="A16" s="1382"/>
      <c r="B16" s="1387"/>
      <c r="C16" s="1382"/>
      <c r="D16" s="678"/>
      <c r="E16" s="407"/>
      <c r="F16" s="407"/>
      <c r="G16" s="407"/>
      <c r="H16" s="407"/>
      <c r="I16" s="407"/>
      <c r="J16" s="407"/>
      <c r="K16" s="407"/>
      <c r="L16" s="407"/>
      <c r="M16" s="736"/>
      <c r="N16" s="1862"/>
      <c r="O16" s="727"/>
      <c r="P16" s="727"/>
      <c r="Q16" s="734">
        <v>21</v>
      </c>
    </row>
    <row s="11254"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54"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4C5DD-0028-15C8-96B3-D623EF1EFCF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675" width="9.140625" hidden="1"/>
    <col min="2" max="2" style="13337" width="9.140625" hidden="1"/>
    <col min="3" max="3" style="13633" width="3.00390625" customWidth="1"/>
    <col min="4" max="4" style="13337" width="6.00390625" customWidth="1"/>
    <col min="5" max="5" style="13337" width="22.00390625" customWidth="1"/>
    <col min="6" max="6" style="13337" width="15.00390625" customWidth="1"/>
    <col min="7" max="7" style="13337" width="14.00390625" customWidth="1"/>
    <col min="8" max="8" style="13337" width="47.00390625" customWidth="1"/>
    <col min="9" max="9" style="13337" width="115.00390625" customWidth="1"/>
    <col min="10" max="10" style="13337" width="3.00390625" customWidth="1"/>
    <col min="11" max="12" style="13337" width="8.00390625" customWidth="1"/>
    <col min="13" max="13" style="13337" width="9.140625" hidden="1"/>
  </cols>
  <sheetData>
    <row customHeight="1" ht="14.25" hidden="1">
      <c r="M1" s="348" t="s">
        <v>14</v>
      </c>
    </row>
    <row customHeight="1" ht="14.25" hidden="1">
      <c r="M2" s="348">
        <v>0</v>
      </c>
    </row>
    <row customHeight="1" ht="14.25" hidden="1">
      <c r="M3" s="348">
        <v>0</v>
      </c>
    </row>
    <row customHeight="1" ht="3">
      <c r="M4" s="348">
        <v>3</v>
      </c>
    </row>
    <row s="11160"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675" customFormat="1" customHeight="1" ht="14.699999999999998">
      <c r="B7" s="346"/>
      <c r="C7" s="347"/>
      <c r="D7" s="350"/>
      <c r="E7" s="350"/>
      <c r="F7" s="350"/>
      <c r="G7" s="350"/>
      <c r="H7" s="979"/>
      <c r="I7" s="350"/>
      <c r="J7" s="351"/>
      <c r="M7" s="345">
        <v>14</v>
      </c>
    </row>
    <row customHeight="1" ht="14.699999999999998">
      <c r="D8" s="2436" t="s">
        <v>302</v>
      </c>
      <c r="E8" s="2436"/>
      <c r="F8" s="2436"/>
      <c r="G8" s="2436"/>
      <c r="H8" s="2436"/>
      <c r="I8" s="2436" t="s">
        <v>303</v>
      </c>
      <c r="M8" s="348">
        <v>14</v>
      </c>
    </row>
    <row customHeight="1" ht="29.25">
      <c r="D9" s="2436" t="s">
        <v>87</v>
      </c>
      <c r="E9" s="2436" t="s">
        <v>1893</v>
      </c>
      <c r="F9" s="2436"/>
      <c r="G9" s="2436"/>
      <c r="H9" s="2436"/>
      <c r="I9" s="2436"/>
      <c r="M9" s="348">
        <v>28</v>
      </c>
    </row>
    <row customHeight="1" ht="24">
      <c r="D10" s="2436"/>
      <c r="E10" s="354" t="s">
        <v>1894</v>
      </c>
      <c r="F10" s="354" t="s">
        <v>1895</v>
      </c>
      <c r="G10" s="354" t="s">
        <v>1896</v>
      </c>
      <c r="H10" s="354" t="s">
        <v>392</v>
      </c>
      <c r="I10" s="2436"/>
      <c r="M10" s="348">
        <v>23</v>
      </c>
    </row>
    <row customHeight="1" ht="12" hidden="1">
      <c r="D11" s="314" t="s">
        <v>108</v>
      </c>
      <c r="E11" s="314" t="s">
        <v>90</v>
      </c>
      <c r="F11" s="314" t="s">
        <v>110</v>
      </c>
      <c r="G11" s="314" t="s">
        <v>91</v>
      </c>
      <c r="H11" s="314" t="s">
        <v>92</v>
      </c>
      <c r="I11" s="314" t="s">
        <v>111</v>
      </c>
      <c r="M11" s="348">
        <v>0</v>
      </c>
    </row>
    <row s="13337" customFormat="1" customHeight="1" ht="26.25">
      <c r="A12" s="372" t="s">
        <v>89</v>
      </c>
      <c r="B12" s="352" t="s">
        <v>28</v>
      </c>
      <c r="C12" s="353"/>
      <c r="D12" s="355" t="s">
        <v>108</v>
      </c>
      <c r="E12" s="608"/>
      <c r="F12" s="608"/>
      <c r="G12" s="1961" t="s">
        <v>28</v>
      </c>
      <c r="H12" s="609"/>
      <c r="I12" s="2396" t="s">
        <v>1897</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1898</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ABD8-6518-BE03-66C8-6187B501383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652" width="9.140625" hidden="1"/>
    <col min="3" max="3" style="13653" width="3.00390625" customWidth="1"/>
    <col min="4" max="4" style="13652" width="6.00390625" customWidth="1"/>
    <col min="5" max="5" style="13652" width="94.00390625" customWidth="1"/>
    <col min="6" max="9" style="13652" width="8.00390625" customWidth="1"/>
    <col min="10" max="10" style="1365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87</v>
      </c>
      <c r="E9" s="487" t="s">
        <v>1900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C51B9-E714-C274-9AE8-AC5C640F1AE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652" width="9.140625" hidden="1"/>
    <col min="3" max="3" style="13653" width="3.00390625" customWidth="1"/>
    <col min="4" max="4" style="13652" width="6.00390625" customWidth="1"/>
    <col min="5" max="5" style="13652" width="94.00390625" customWidth="1"/>
    <col min="6" max="12" style="13652" width="8.00390625" customWidth="1"/>
    <col min="13" max="13" style="1365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87</v>
      </c>
      <c r="E9" s="335" t="s">
        <v>289</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C9358-AF18-DE68-1FF8-7B48D976BE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299" width="1.7109375" customWidth="1"/>
    <col min="2" max="2" style="11299" width="34.57421875" customWidth="1"/>
    <col min="3" max="3" style="11299" width="85.00390625" customWidth="1"/>
    <col min="4" max="4" style="11299" width="17.00390625" customWidth="1"/>
    <col min="5" max="5" style="11299" width="8.00390625" customWidth="1"/>
    <col min="6" max="6" style="11299"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FDEF-023C-EDA1-E34B-4BCC503DB6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299" width="26.57421875" customWidth="1"/>
    <col min="2" max="2" style="11299" width="10.00390625" customWidth="1"/>
    <col min="3" max="3" style="11299" width="9.140625"/>
    <col min="4" max="4" style="11299" width="11.140625" customWidth="1"/>
    <col min="5" max="5" style="11299" width="16.57421875" customWidth="1"/>
    <col min="6" max="6" style="11299" width="16.28125" customWidth="1"/>
    <col min="7" max="7" style="11299" width="19.140625" customWidth="1"/>
    <col min="8" max="11" style="11299" width="10.00390625" customWidth="1"/>
    <col min="12" max="12" style="11299" width="12.7109375" customWidth="1"/>
    <col min="13" max="13" style="11299" width="61.28125" customWidth="1"/>
    <col min="14" max="14" style="11299" width="10.00390625" customWidth="1"/>
    <col min="15" max="17" style="11299" width="23.7109375" customWidth="1"/>
    <col min="18" max="18" style="11299" width="11.7109375" customWidth="1"/>
    <col min="19" max="19" style="11299" width="8.57421875" customWidth="1"/>
    <col min="20" max="20" style="11299" width="11.7109375" customWidth="1"/>
    <col min="21" max="21" style="11299" width="8.57421875" customWidth="1"/>
    <col min="22" max="22" style="11299" width="4.7109375" customWidth="1"/>
    <col min="23" max="23" style="11299" width="115.7109375" customWidth="1"/>
    <col min="24" max="24" style="11299" width="115.28125" customWidth="1"/>
    <col min="25" max="27" style="11299" width="9.140625"/>
    <col min="28" max="28" style="11299" width="115.7109375" customWidth="1"/>
    <col min="29" max="29" style="11299" width="9.140625"/>
    <col min="30" max="90" style="11299" width="115.7109375" customWidth="1"/>
    <col min="91" max="184" style="11299" width="9.140625"/>
  </cols>
  <sheetData>
    <row r="2" s="13663" customFormat="1" customHeight="1" ht="17.25">
      <c r="A2" s="2042" t="s">
        <v>1908</v>
      </c>
    </row>
    <row r="4" s="13652" customFormat="1" customHeight="1" ht="15">
      <c r="C4" s="2043"/>
      <c r="D4" s="340"/>
      <c r="E4" s="604"/>
    </row>
    <row r="6" s="13663" customFormat="1" customHeight="1" ht="17.25">
      <c r="A6" s="2042" t="s">
        <v>1909</v>
      </c>
    </row>
    <row r="8" s="13652" customFormat="1" customHeight="1" ht="17.25">
      <c r="C8" s="2044"/>
      <c r="D8" s="340"/>
      <c r="E8" s="341"/>
    </row>
    <row r="11" s="13663" customFormat="1" customHeight="1" ht="17.25">
      <c r="A11" s="2042" t="s">
        <v>1910</v>
      </c>
    </row>
    <row r="13" s="11254" customFormat="1" customHeight="1" ht="15">
      <c r="A13" s="2444">
        <v>1</v>
      </c>
      <c r="B13" s="1387"/>
      <c r="C13" s="1028" t="s">
        <v>531</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299"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299"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663" customFormat="1" customHeight="1" ht="17.25">
      <c r="A17" s="2042" t="s">
        <v>1911</v>
      </c>
    </row>
    <row r="19" s="11299" customFormat="1" customHeight="1" ht="15">
      <c r="A19" s="2109"/>
      <c r="B19" s="1593">
        <v>1</v>
      </c>
      <c r="C19" s="1593"/>
      <c r="D19" s="1027" t="s">
        <v>531</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299"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299" customFormat="1" customHeight="1" ht="15">
      <c r="U22" s="412"/>
    </row>
    <row s="11365" customFormat="1" customHeight="1" ht="15">
      <c r="A23" s="650"/>
      <c r="B23" s="650"/>
      <c r="C23" s="1955" t="s">
        <v>531</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365"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65"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299" customFormat="1" customHeight="1" ht="15">
      <c r="U26" s="412"/>
    </row>
    <row s="11299"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299" customFormat="1" customHeight="1" ht="15">
      <c r="U28" s="412"/>
    </row>
    <row s="11365" customFormat="1" customHeight="1" ht="15">
      <c r="A29" s="650"/>
      <c r="B29" s="650"/>
      <c r="C29" s="403"/>
      <c r="D29" s="2048"/>
      <c r="E29" s="2048"/>
      <c r="F29" s="2048"/>
      <c r="G29" s="2788" t="s">
        <v>531</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365"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299" customFormat="1" customHeight="1" ht="15">
      <c r="U31" s="412"/>
    </row>
    <row s="11299"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299" customFormat="1" customHeight="1" ht="15">
      <c r="U33" s="412"/>
    </row>
    <row s="11365" customFormat="1" customHeight="1" ht="15">
      <c r="A34" s="650"/>
      <c r="B34" s="650"/>
      <c r="C34" s="403"/>
      <c r="D34" s="2048"/>
      <c r="E34" s="2048"/>
      <c r="F34" s="2048"/>
      <c r="G34" s="2048"/>
      <c r="H34" s="2048"/>
      <c r="I34" s="2048"/>
      <c r="J34" s="2048"/>
      <c r="K34" s="2026" t="s">
        <v>531</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299" customFormat="1" customHeight="1" ht="15">
      <c r="U35" s="412"/>
    </row>
    <row s="11299" customFormat="1" customHeight="1" ht="15">
      <c r="U36" s="412"/>
    </row>
    <row s="13663" customFormat="1" customHeight="1" ht="11.25">
      <c r="A37" s="2042" t="s">
        <v>1915</v>
      </c>
    </row>
    <row customHeight="1" ht="11.25"/>
    <row s="11763" customFormat="1" customHeight="1" ht="22.5">
      <c r="A39" s="2018"/>
      <c r="B39" s="684"/>
      <c r="C39" s="1086"/>
      <c r="D39" s="667"/>
      <c r="E39" s="1087"/>
      <c r="F39" s="2039"/>
      <c r="G39" s="2049"/>
      <c r="H39" s="702"/>
    </row>
    <row customHeight="1" ht="11.25"/>
    <row s="13663" customFormat="1" customHeight="1" ht="11.25">
      <c r="A41" s="2042" t="s">
        <v>1916</v>
      </c>
    </row>
    <row customHeight="1" ht="11.25"/>
    <row s="11763" customFormat="1" customHeight="1" ht="22.5">
      <c r="A43" s="684"/>
      <c r="B43" s="684"/>
      <c r="C43" s="684"/>
      <c r="D43" s="667"/>
      <c r="E43" s="1087"/>
      <c r="F43" s="1088"/>
      <c r="G43" s="2049"/>
      <c r="H43" s="702"/>
    </row>
    <row customHeight="1" ht="11.25"/>
    <row s="13663" customFormat="1" customHeight="1" ht="11.25">
      <c r="A45" s="2042" t="s">
        <v>1917</v>
      </c>
    </row>
    <row customHeight="1" ht="11.25"/>
    <row s="11763" customFormat="1" customHeight="1" ht="24">
      <c r="A47" s="2429" t="s">
        <v>315</v>
      </c>
      <c r="B47" s="729"/>
      <c r="C47" s="2440"/>
      <c r="D47" s="672" t="str">
        <f>A47</f>
        <v>5.1</v>
      </c>
      <c r="E47" s="669" t="s">
        <v>316</v>
      </c>
      <c r="F47" s="2203" t="s">
        <v>308</v>
      </c>
      <c r="G47" s="671" t="s">
        <v>317</v>
      </c>
      <c r="H47" s="702"/>
      <c r="I47" s="1079"/>
    </row>
    <row s="11763" customFormat="1" customHeight="1" ht="22.5">
      <c r="A48" s="2429"/>
      <c r="B48" s="729"/>
      <c r="C48" s="2440"/>
      <c r="D48" s="667" t="str">
        <f>D47&amp;".1"</f>
        <v>5.1.1</v>
      </c>
      <c r="E48" s="666" t="s">
        <v>318</v>
      </c>
      <c r="F48" s="2204" t="s">
        <v>28</v>
      </c>
      <c r="G48" s="701"/>
      <c r="H48" s="702"/>
      <c r="I48" s="1079"/>
    </row>
    <row s="11763" customFormat="1" customHeight="1" ht="22.5">
      <c r="A49" s="2429"/>
      <c r="B49" s="729"/>
      <c r="C49" s="2440"/>
      <c r="D49" s="667" t="str">
        <f>D47&amp;".2"</f>
        <v>5.1.2</v>
      </c>
      <c r="E49" s="666" t="s">
        <v>319</v>
      </c>
      <c r="F49" s="1959" t="s">
        <v>28</v>
      </c>
      <c r="G49" s="671" t="s">
        <v>320</v>
      </c>
      <c r="H49" s="702"/>
      <c r="I49" s="1079"/>
    </row>
    <row s="11763" customFormat="1" customHeight="1" ht="22.5">
      <c r="A50" s="2429"/>
      <c r="B50" s="729"/>
      <c r="C50" s="2440"/>
      <c r="D50" s="667" t="str">
        <f>D47&amp;".3"</f>
        <v>5.1.3</v>
      </c>
      <c r="E50" s="666" t="s">
        <v>321</v>
      </c>
      <c r="F50" s="2204" t="s">
        <v>28</v>
      </c>
      <c r="G50" s="701"/>
      <c r="H50" s="702"/>
      <c r="I50" s="1079"/>
    </row>
    <row s="11763" customFormat="1" customHeight="1" ht="22.5">
      <c r="A51" s="2429"/>
      <c r="B51" s="729"/>
      <c r="C51" s="2440"/>
      <c r="D51" s="667" t="str">
        <f>D47&amp;".4"</f>
        <v>5.1.4</v>
      </c>
      <c r="E51" s="666" t="s">
        <v>322</v>
      </c>
      <c r="F51" s="2204" t="s">
        <v>28</v>
      </c>
      <c r="G51" s="671" t="s">
        <v>323</v>
      </c>
      <c r="H51" s="702"/>
      <c r="I51" s="1079"/>
    </row>
    <row r="54" s="13663" customFormat="1" customHeight="1" ht="17.25">
      <c r="A54" s="2042" t="s">
        <v>1918</v>
      </c>
    </row>
    <row r="56" s="11135" customFormat="1" customHeight="1" ht="18.75">
      <c r="A56" s="316"/>
      <c r="B56" s="2050"/>
      <c r="C56" s="2050"/>
      <c r="D56" s="2051"/>
      <c r="E56" s="2036"/>
      <c r="F56" s="1095">
        <v>13</v>
      </c>
      <c r="G56" s="1094"/>
      <c r="H56" s="1020"/>
      <c r="I56" s="1018"/>
      <c r="J56" s="747" t="s">
        <v>65</v>
      </c>
      <c r="K56" s="2052" t="s">
        <v>28</v>
      </c>
      <c r="L56" s="316"/>
      <c r="M56" s="1863"/>
      <c r="N56" s="1863"/>
      <c r="O56" s="1863"/>
      <c r="P56" s="743" t="s">
        <v>394</v>
      </c>
      <c r="Q56" s="743" t="s">
        <v>395</v>
      </c>
      <c r="R56" s="744" t="s">
        <v>396</v>
      </c>
      <c r="S56" s="1863" t="s">
        <v>397</v>
      </c>
      <c r="T56" s="1863"/>
      <c r="U56" s="1863"/>
      <c r="V56" s="1863"/>
    </row>
    <row r="58" s="13663" customFormat="1" customHeight="1" ht="11.25">
      <c r="A58" s="2042" t="s">
        <v>1919</v>
      </c>
    </row>
    <row r="60" s="11160"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383</v>
      </c>
      <c r="AQ60" s="1851" t="s">
        <v>383</v>
      </c>
      <c r="AR60" s="1863"/>
      <c r="AS60" s="1863"/>
    </row>
    <row r="62" s="13663" customFormat="1" customHeight="1" ht="11.25">
      <c r="A62" s="2042" t="s">
        <v>1920</v>
      </c>
    </row>
    <row r="64" s="13337" customFormat="1" customHeight="1" ht="15">
      <c r="A64" s="372" t="s">
        <v>89</v>
      </c>
      <c r="B64" s="352" t="s">
        <v>28</v>
      </c>
      <c r="C64" s="2053"/>
      <c r="D64" s="355"/>
      <c r="E64" s="608"/>
      <c r="F64" s="608"/>
      <c r="G64" s="2030"/>
      <c r="H64" s="2052"/>
      <c r="I64" s="2031"/>
      <c r="K64" s="499"/>
      <c r="L64" s="500"/>
    </row>
    <row r="66" s="13663" customFormat="1" customHeight="1" ht="11.25">
      <c r="A66" s="2042" t="s">
        <v>1921</v>
      </c>
    </row>
    <row r="68" s="11160" customFormat="1" customHeight="1" ht="14.25">
      <c r="A68" s="570"/>
      <c r="B68" s="1387"/>
      <c r="C68" s="603"/>
      <c r="D68" s="2037"/>
      <c r="E68" s="1113"/>
      <c r="F68" s="2052"/>
      <c r="G68" s="316"/>
      <c r="I68" s="1851"/>
      <c r="J68" s="1851"/>
    </row>
    <row r="70" s="13663" customFormat="1" customHeight="1" ht="11.25">
      <c r="A70" s="2042" t="s">
        <v>1922</v>
      </c>
    </row>
    <row r="72" s="11160"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1923</v>
      </c>
    </row>
    <row s="1116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3663" customFormat="1" customHeight="1" ht="11.25">
      <c r="A75" s="2042" t="s">
        <v>1925</v>
      </c>
    </row>
    <row r="77" s="1116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3663" customFormat="1" customHeight="1" ht="11.25">
      <c r="A79" s="2042" t="s">
        <v>1926</v>
      </c>
    </row>
    <row customHeight="1" ht="17.25"/>
    <row s="1116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60" customFormat="1" customHeight="1" ht="0.75">
      <c r="A82" s="1393"/>
      <c r="B82" s="1393"/>
      <c r="C82" s="1393"/>
      <c r="D82" s="1387"/>
      <c r="E82" s="1397"/>
      <c r="F82" s="2763"/>
      <c r="G82" s="2742"/>
      <c r="H82" s="2767" t="s">
        <v>378</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6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6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6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6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60"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663" customFormat="1" customHeight="1" ht="11.25">
      <c r="A89" s="2042" t="s">
        <v>1928</v>
      </c>
    </row>
    <row r="91" s="11160"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6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6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663" customFormat="1" customHeight="1" ht="11.25">
      <c r="A95" s="2042" t="s">
        <v>1930</v>
      </c>
    </row>
    <row r="97" s="1116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663" customFormat="1" customHeight="1" ht="11.25">
      <c r="A99" s="2042" t="s">
        <v>1931</v>
      </c>
    </row>
    <row r="101" s="11160" customFormat="1" customHeight="1" ht="11.25">
      <c r="A101" s="1393"/>
      <c r="B101" s="1393"/>
      <c r="C101" s="1393"/>
      <c r="D101" s="1387"/>
      <c r="E101" s="1397"/>
      <c r="F101" s="2056"/>
      <c r="G101" s="2057"/>
      <c r="H101" s="2742" t="s">
        <v>108</v>
      </c>
      <c r="I101" s="2743"/>
      <c r="J101" s="2712"/>
      <c r="K101" s="2744"/>
      <c r="L101" s="2334" t="s">
        <v>19</v>
      </c>
      <c r="M101" s="2335"/>
      <c r="N101" s="2213"/>
      <c r="O101" s="1404" t="s">
        <v>378</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6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6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6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60"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663" customFormat="1" customHeight="1" ht="11.25">
      <c r="A107" s="2042" t="s">
        <v>1933</v>
      </c>
    </row>
    <row customHeight="1" ht="17.25"/>
    <row s="13184"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184"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184"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663" customFormat="1" customHeight="1" ht="11.25">
      <c r="A113" s="2042" t="s">
        <v>1935</v>
      </c>
    </row>
    <row r="115" s="11299"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611</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299" customFormat="1" customHeight="1" ht="15">
      <c r="A116" s="850"/>
      <c r="B116" s="851"/>
      <c r="C116" s="851"/>
      <c r="D116" s="2806"/>
      <c r="E116" s="2604" t="s">
        <v>566</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299" customFormat="1" customHeight="1" ht="15">
      <c r="A117" s="850"/>
      <c r="B117" s="851"/>
      <c r="C117" s="851"/>
      <c r="D117" s="2806"/>
      <c r="E117" s="2604" t="s">
        <v>567</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299" customFormat="1" customHeight="1" ht="24.75">
      <c r="A118" s="2033"/>
      <c r="B118" s="1387"/>
      <c r="C118" s="639"/>
      <c r="D118" s="2806"/>
      <c r="E118" s="2603" t="s">
        <v>612</v>
      </c>
      <c r="F118" s="2603"/>
      <c r="G118" s="2603"/>
      <c r="H118" s="2603"/>
      <c r="I118" s="2603"/>
      <c r="J118" s="2603"/>
      <c r="K118" s="2603"/>
      <c r="L118" s="2603"/>
      <c r="M118" s="2603"/>
      <c r="N118" s="2603"/>
      <c r="O118" s="2603"/>
      <c r="P118" s="2603"/>
      <c r="Q118" s="785">
        <f>SUMIF(T119:T120,"i",Q119:Q120)</f>
        <v>0</v>
      </c>
      <c r="R118" s="1244"/>
      <c r="S118" s="2025" t="s">
        <v>613</v>
      </c>
      <c r="T118" s="944" t="s">
        <v>614</v>
      </c>
      <c r="U118" s="2601">
        <v>1</v>
      </c>
      <c r="V118" s="2601" t="s">
        <v>577</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299"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299" customFormat="1" customHeight="1" ht="11.25">
      <c r="A120" s="2033"/>
      <c r="B120" s="1387"/>
      <c r="C120" s="639"/>
      <c r="D120" s="2806"/>
      <c r="E120" s="876" t="s">
        <v>28</v>
      </c>
      <c r="F120" s="1395" t="s">
        <v>28</v>
      </c>
      <c r="G120" s="1395" t="s">
        <v>1936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299" customFormat="1" customHeight="1" ht="24.75">
      <c r="A121" s="2033"/>
      <c r="B121" s="1387"/>
      <c r="C121" s="639"/>
      <c r="D121" s="2806"/>
      <c r="E121" s="2603" t="s">
        <v>615</v>
      </c>
      <c r="F121" s="2603"/>
      <c r="G121" s="2603"/>
      <c r="H121" s="2603"/>
      <c r="I121" s="2603"/>
      <c r="J121" s="2603"/>
      <c r="K121" s="2603"/>
      <c r="L121" s="2603"/>
      <c r="M121" s="2603"/>
      <c r="N121" s="2603"/>
      <c r="O121" s="2603"/>
      <c r="P121" s="2603"/>
      <c r="Q121" s="785">
        <f>SUMIF(T122:T123,"i",Q122:Q123)</f>
        <v>0</v>
      </c>
      <c r="R121" s="1244"/>
      <c r="S121" s="2025" t="s">
        <v>616</v>
      </c>
      <c r="T121" s="944" t="s">
        <v>614</v>
      </c>
      <c r="U121" s="2601">
        <v>1</v>
      </c>
      <c r="V121" s="2601" t="s">
        <v>577</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299"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299" customFormat="1" customHeight="1" ht="11.25">
      <c r="A123" s="2033"/>
      <c r="B123" s="1387"/>
      <c r="C123" s="639"/>
      <c r="D123" s="2807"/>
      <c r="E123" s="876" t="s">
        <v>28</v>
      </c>
      <c r="F123" s="1395" t="s">
        <v>28</v>
      </c>
      <c r="G123" s="1395" t="s">
        <v>1936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663" customFormat="1" customHeight="1" ht="11.25">
      <c r="A125" s="2042" t="s">
        <v>1937</v>
      </c>
    </row>
    <row r="127" s="11299"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611</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299" customFormat="1" customHeight="1" ht="15">
      <c r="A128" s="850"/>
      <c r="B128" s="851"/>
      <c r="C128" s="851"/>
      <c r="D128" s="2806"/>
      <c r="E128" s="2604" t="s">
        <v>566</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299" customFormat="1" customHeight="1" ht="15">
      <c r="A129" s="850"/>
      <c r="B129" s="851"/>
      <c r="C129" s="851"/>
      <c r="D129" s="2806"/>
      <c r="E129" s="2604" t="s">
        <v>567</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299" customFormat="1" customHeight="1" ht="24.75">
      <c r="A130" s="2033"/>
      <c r="B130" s="1387"/>
      <c r="C130" s="639"/>
      <c r="D130" s="2806"/>
      <c r="E130" s="2603" t="s">
        <v>612</v>
      </c>
      <c r="F130" s="2603"/>
      <c r="G130" s="2603"/>
      <c r="H130" s="2603"/>
      <c r="I130" s="2603"/>
      <c r="J130" s="2603"/>
      <c r="K130" s="2603"/>
      <c r="L130" s="2603"/>
      <c r="M130" s="2603"/>
      <c r="N130" s="2603"/>
      <c r="O130" s="2603"/>
      <c r="P130" s="2603"/>
      <c r="Q130" s="785">
        <f>SUMIF(T131:T132,"i",Q131:Q132)</f>
        <v>0</v>
      </c>
      <c r="R130" s="1244"/>
      <c r="S130" s="2025" t="s">
        <v>613</v>
      </c>
      <c r="T130" s="944" t="s">
        <v>614</v>
      </c>
      <c r="U130" s="2601">
        <v>1</v>
      </c>
      <c r="V130" s="2601" t="s">
        <v>577</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299"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299" customFormat="1" customHeight="1" ht="11.25">
      <c r="A132" s="2033"/>
      <c r="B132" s="1387"/>
      <c r="C132" s="639"/>
      <c r="D132" s="2806"/>
      <c r="E132" s="876" t="s">
        <v>28</v>
      </c>
      <c r="F132" s="1395" t="s">
        <v>28</v>
      </c>
      <c r="G132" s="1395" t="s">
        <v>1936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599"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614</v>
      </c>
      <c r="U133" s="2601">
        <v>1</v>
      </c>
      <c r="V133" s="2601" t="s">
        <v>577</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599"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599"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663" customFormat="1" customHeight="1" ht="11.25">
      <c r="A137" s="2042" t="s">
        <v>1938</v>
      </c>
    </row>
    <row r="139" s="11299" customFormat="1" customHeight="1" ht="45">
      <c r="A139" s="2033"/>
      <c r="B139" s="1387"/>
      <c r="C139" s="639"/>
      <c r="D139" s="316"/>
      <c r="E139" s="2799"/>
      <c r="F139" s="2335" t="s">
        <v>108</v>
      </c>
      <c r="G139" s="2802" t="s">
        <v>28</v>
      </c>
      <c r="H139" s="516"/>
      <c r="I139" s="864" t="s">
        <v>108</v>
      </c>
      <c r="J139" s="2034" t="s">
        <v>1939</v>
      </c>
      <c r="K139" s="865" t="s">
        <v>548</v>
      </c>
      <c r="L139" s="2451" t="s">
        <v>548</v>
      </c>
      <c r="M139" s="2804"/>
      <c r="N139" s="865" t="s">
        <v>548</v>
      </c>
      <c r="O139" s="865" t="s">
        <v>548</v>
      </c>
      <c r="P139" s="865" t="s">
        <v>548</v>
      </c>
      <c r="Q139" s="866">
        <f>SUM(Q140:Q142)</f>
        <v>0</v>
      </c>
      <c r="R139" s="866">
        <f>IF(R136=0,0,(Q136/R136)*100)</f>
        <v>0</v>
      </c>
      <c r="S139" s="2406"/>
      <c r="T139" s="944" t="s">
        <v>614</v>
      </c>
      <c r="U139" s="316"/>
      <c r="V139" s="316"/>
      <c r="AC139" s="316"/>
    </row>
    <row s="11299" customFormat="1" customHeight="1" ht="11.25">
      <c r="A140" s="2033"/>
      <c r="B140" s="1387"/>
      <c r="C140" s="639"/>
      <c r="D140" s="316"/>
      <c r="E140" s="2800"/>
      <c r="F140" s="2335"/>
      <c r="G140" s="2802"/>
      <c r="H140" s="2354"/>
      <c r="I140" s="2742" t="s">
        <v>1023</v>
      </c>
      <c r="J140" s="2796"/>
      <c r="K140" s="2797"/>
      <c r="L140" s="867"/>
      <c r="M140" s="868" t="s">
        <v>108</v>
      </c>
      <c r="N140" s="2022"/>
      <c r="O140" s="869"/>
      <c r="P140" s="870"/>
      <c r="Q140" s="869"/>
      <c r="R140" s="871">
        <v>0</v>
      </c>
      <c r="S140" s="2406"/>
      <c r="T140" s="944"/>
      <c r="U140" s="316"/>
      <c r="V140" s="316"/>
      <c r="AC140" s="316"/>
    </row>
    <row s="11299"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1299" customFormat="1" customHeight="1" ht="11.25">
      <c r="A142" s="2033"/>
      <c r="B142" s="1387"/>
      <c r="C142" s="639"/>
      <c r="D142" s="316"/>
      <c r="E142" s="2801"/>
      <c r="F142" s="2335"/>
      <c r="G142" s="2803"/>
      <c r="H142" s="872" t="s">
        <v>28</v>
      </c>
      <c r="I142" s="873"/>
      <c r="J142" s="874" t="s">
        <v>1941</v>
      </c>
      <c r="K142" s="874"/>
      <c r="L142" s="874"/>
      <c r="M142" s="874"/>
      <c r="N142" s="874"/>
      <c r="O142" s="874"/>
      <c r="P142" s="874"/>
      <c r="Q142" s="874"/>
      <c r="R142" s="875"/>
      <c r="S142" s="2406"/>
      <c r="T142" s="944"/>
      <c r="U142" s="316"/>
      <c r="V142" s="316"/>
      <c r="AC142" s="316"/>
    </row>
    <row r="147" s="11299" customFormat="1" customHeight="1" ht="11.25">
      <c r="A147" s="2033"/>
      <c r="B147" s="1387"/>
      <c r="C147" s="639"/>
      <c r="D147" s="316"/>
      <c r="E147" s="2057"/>
      <c r="F147" s="2057"/>
      <c r="G147" s="2057"/>
      <c r="H147" s="2354"/>
      <c r="I147" s="2742" t="s">
        <v>1023</v>
      </c>
      <c r="J147" s="2796"/>
      <c r="K147" s="2797"/>
      <c r="L147" s="867"/>
      <c r="M147" s="868" t="s">
        <v>108</v>
      </c>
      <c r="N147" s="2022"/>
      <c r="O147" s="869"/>
      <c r="P147" s="870"/>
      <c r="Q147" s="869"/>
      <c r="R147" s="871">
        <v>0</v>
      </c>
      <c r="S147" s="316"/>
      <c r="T147" s="944"/>
      <c r="U147" s="316"/>
      <c r="V147" s="316"/>
      <c r="AC147" s="316"/>
    </row>
    <row s="11299"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1299"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663" customFormat="1" customHeight="1" ht="17.25">
      <c r="A152" s="2042" t="s">
        <v>1942</v>
      </c>
    </row>
    <row customHeight="1" ht="17.25">
      <c r="G153" s="2066"/>
      <c r="H153" s="2066"/>
      <c r="I153" s="2066"/>
      <c r="M153" s="2062"/>
    </row>
    <row s="11365" customFormat="1" customHeight="1" ht="17.25">
      <c r="A154" s="2067"/>
      <c r="C154" s="2069"/>
      <c r="D154" s="2756"/>
      <c r="E154" s="2370"/>
      <c r="F154" s="2372"/>
      <c r="G154" s="2758"/>
      <c r="H154" s="2756"/>
      <c r="I154" s="2756">
        <v>1</v>
      </c>
      <c r="J154" s="2728"/>
      <c r="K154" s="2412" t="s">
        <v>65</v>
      </c>
      <c r="L154" s="2335"/>
      <c r="M154" s="2335" t="s">
        <v>108</v>
      </c>
      <c r="N154" s="2731" t="str">
        <f>IF(Z154="","",INDEX(TERRITORY_MR_LIST,MATCH(Z154,TERRITORY_LIST_ID,0)))</f>
        <v/>
      </c>
      <c r="O154" s="2412" t="s">
        <v>65</v>
      </c>
      <c r="P154" s="2335"/>
      <c r="Q154" s="2335" t="s">
        <v>108</v>
      </c>
      <c r="R154" s="2729" t="s">
        <v>28</v>
      </c>
      <c r="S154" s="2334" t="s">
        <v>65</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65"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416</v>
      </c>
      <c r="W155" s="546"/>
      <c r="Y155" s="1486"/>
      <c r="Z155" s="1486"/>
      <c r="AA155" s="1486"/>
      <c r="AB155" s="1486"/>
      <c r="AC155" s="1486"/>
      <c r="AD155" s="1486"/>
      <c r="AE155" s="1486"/>
      <c r="AF155" s="1486"/>
      <c r="AG155" s="1486"/>
      <c r="AH155" s="1486"/>
      <c r="AI155" s="1486"/>
      <c r="AJ155" s="1486"/>
      <c r="AK155" s="1486"/>
    </row>
    <row s="11365" customFormat="1" customHeight="1" ht="17.25">
      <c r="A156" s="2067"/>
      <c r="C156" s="2072"/>
      <c r="D156" s="2730"/>
      <c r="E156" s="2757"/>
      <c r="F156" s="2373"/>
      <c r="G156" s="2759"/>
      <c r="H156" s="2730"/>
      <c r="I156" s="2730"/>
      <c r="J156" s="2760"/>
      <c r="K156" s="2413"/>
      <c r="L156" s="2730"/>
      <c r="M156" s="2730"/>
      <c r="N156" s="2732"/>
      <c r="O156" s="2339"/>
      <c r="P156" s="544"/>
      <c r="Q156" s="545"/>
      <c r="R156" s="545" t="s">
        <v>253</v>
      </c>
      <c r="S156" s="2073"/>
      <c r="T156" s="2073"/>
      <c r="U156" s="2073"/>
      <c r="V156" s="2073"/>
      <c r="W156" s="546"/>
      <c r="Y156" s="1486"/>
      <c r="Z156" s="1486"/>
      <c r="AA156" s="1486"/>
      <c r="AB156" s="1486"/>
      <c r="AC156" s="1486"/>
      <c r="AD156" s="1486"/>
      <c r="AE156" s="1486"/>
      <c r="AF156" s="1486"/>
      <c r="AG156" s="1486"/>
      <c r="AH156" s="1486"/>
      <c r="AI156" s="1486"/>
      <c r="AJ156" s="1486"/>
      <c r="AK156" s="1486"/>
    </row>
    <row s="11365" customFormat="1" customHeight="1" ht="17.25">
      <c r="A157" s="2067"/>
      <c r="C157" s="2072"/>
      <c r="D157" s="2730"/>
      <c r="E157" s="2757"/>
      <c r="F157" s="2373"/>
      <c r="G157" s="2759"/>
      <c r="H157" s="2730"/>
      <c r="I157" s="2730"/>
      <c r="J157" s="2760"/>
      <c r="K157" s="2339"/>
      <c r="L157" s="544"/>
      <c r="M157" s="545"/>
      <c r="N157" s="545" t="s">
        <v>254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65" customFormat="1" customHeight="1" ht="17.25">
      <c r="A158" s="2067"/>
      <c r="C158" s="2072"/>
      <c r="D158" s="2730"/>
      <c r="E158" s="2757"/>
      <c r="F158" s="2374"/>
      <c r="G158" s="2759"/>
      <c r="H158" s="544"/>
      <c r="I158" s="545"/>
      <c r="J158" s="545" t="s">
        <v>255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65" customFormat="1" customHeight="1" ht="17.25">
      <c r="A160" s="2067"/>
      <c r="C160" s="2069"/>
      <c r="D160" s="2057"/>
      <c r="E160" s="2074"/>
      <c r="F160" s="2011"/>
      <c r="G160" s="2075"/>
      <c r="H160" s="2756"/>
      <c r="I160" s="2756">
        <v>1</v>
      </c>
      <c r="J160" s="2728"/>
      <c r="K160" s="2412" t="s">
        <v>65</v>
      </c>
      <c r="L160" s="2335"/>
      <c r="M160" s="2335" t="s">
        <v>108</v>
      </c>
      <c r="N160" s="2731" t="str">
        <f>IF(Z160="","",INDEX(TERRITORY_MR_LIST,MATCH(Z160,TERRITORY_LIST_ID,0)))</f>
        <v/>
      </c>
      <c r="O160" s="2412" t="s">
        <v>65</v>
      </c>
      <c r="P160" s="2335"/>
      <c r="Q160" s="2335" t="s">
        <v>108</v>
      </c>
      <c r="R160" s="2729" t="s">
        <v>28</v>
      </c>
      <c r="S160" s="2334" t="s">
        <v>65</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65"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416</v>
      </c>
      <c r="W161" s="546"/>
      <c r="Y161" s="1486"/>
      <c r="Z161" s="1486"/>
      <c r="AA161" s="1486"/>
      <c r="AB161" s="1486"/>
      <c r="AC161" s="1486"/>
      <c r="AD161" s="1486"/>
      <c r="AE161" s="1486"/>
      <c r="AF161" s="1486"/>
      <c r="AG161" s="1486"/>
      <c r="AH161" s="1486"/>
      <c r="AI161" s="1486"/>
      <c r="AJ161" s="1486"/>
      <c r="AK161" s="1486"/>
    </row>
    <row s="11365" customFormat="1" customHeight="1" ht="17.25">
      <c r="A162" s="2067"/>
      <c r="C162" s="2072"/>
      <c r="D162" s="2057"/>
      <c r="E162" s="2074"/>
      <c r="F162" s="2011"/>
      <c r="G162" s="2075"/>
      <c r="H162" s="2730"/>
      <c r="I162" s="2730"/>
      <c r="J162" s="2760"/>
      <c r="K162" s="2413"/>
      <c r="L162" s="2730"/>
      <c r="M162" s="2730"/>
      <c r="N162" s="2732"/>
      <c r="O162" s="2339"/>
      <c r="P162" s="544"/>
      <c r="Q162" s="545"/>
      <c r="R162" s="545" t="s">
        <v>253</v>
      </c>
      <c r="S162" s="2073"/>
      <c r="T162" s="2073"/>
      <c r="U162" s="2073"/>
      <c r="V162" s="2073"/>
      <c r="W162" s="546"/>
      <c r="Y162" s="1486"/>
      <c r="Z162" s="1486"/>
      <c r="AA162" s="1486"/>
      <c r="AB162" s="1486"/>
      <c r="AC162" s="1486"/>
      <c r="AD162" s="1486"/>
      <c r="AE162" s="1486"/>
      <c r="AF162" s="1486"/>
      <c r="AG162" s="1486"/>
      <c r="AH162" s="1486"/>
      <c r="AI162" s="1486"/>
      <c r="AJ162" s="1486"/>
      <c r="AK162" s="1486"/>
    </row>
    <row s="11365" customFormat="1" customHeight="1" ht="17.25">
      <c r="A163" s="2067"/>
      <c r="C163" s="2072"/>
      <c r="D163" s="2057"/>
      <c r="E163" s="2074"/>
      <c r="F163" s="2011"/>
      <c r="G163" s="2075"/>
      <c r="H163" s="2730"/>
      <c r="I163" s="2730"/>
      <c r="J163" s="2760"/>
      <c r="K163" s="2339"/>
      <c r="L163" s="544"/>
      <c r="M163" s="545"/>
      <c r="N163" s="545" t="s">
        <v>254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65"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65</v>
      </c>
      <c r="P165" s="2335"/>
      <c r="Q165" s="2335" t="s">
        <v>108</v>
      </c>
      <c r="R165" s="2729" t="s">
        <v>28</v>
      </c>
      <c r="S165" s="2334" t="s">
        <v>65</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65"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416</v>
      </c>
      <c r="W166" s="546"/>
      <c r="Y166" s="1486"/>
      <c r="Z166" s="1486"/>
      <c r="AA166" s="1486"/>
      <c r="AB166" s="1486"/>
      <c r="AC166" s="1486"/>
      <c r="AD166" s="1486"/>
      <c r="AE166" s="1486"/>
      <c r="AF166" s="1486"/>
      <c r="AG166" s="1486"/>
      <c r="AH166" s="1486"/>
      <c r="AI166" s="1486"/>
      <c r="AJ166" s="1486"/>
      <c r="AK166" s="1486"/>
    </row>
    <row s="11365" customFormat="1" customHeight="1" ht="17.25">
      <c r="A167" s="2067"/>
      <c r="C167" s="2072"/>
      <c r="D167" s="2057"/>
      <c r="E167" s="2074"/>
      <c r="F167" s="2011"/>
      <c r="G167" s="2075"/>
      <c r="H167" s="2057"/>
      <c r="I167" s="2057"/>
      <c r="J167" s="2076"/>
      <c r="K167" s="1987"/>
      <c r="L167" s="2730"/>
      <c r="M167" s="2730"/>
      <c r="N167" s="2732"/>
      <c r="O167" s="2339"/>
      <c r="P167" s="544"/>
      <c r="Q167" s="545"/>
      <c r="R167" s="545" t="s">
        <v>253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65"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65</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65"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416</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65"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663" customFormat="1" customHeight="1" ht="17.25">
      <c r="A174" s="2042" t="s">
        <v>1943</v>
      </c>
    </row>
    <row customHeight="1" ht="17.25">
      <c r="G175" s="2066"/>
      <c r="H175" s="2066"/>
      <c r="I175" s="2066"/>
      <c r="M175" s="2062"/>
    </row>
    <row s="11365" customFormat="1" customHeight="1" ht="17.25">
      <c r="A176" s="2067"/>
      <c r="C176" s="2069"/>
      <c r="D176" s="2756"/>
      <c r="E176" s="2370"/>
      <c r="F176" s="2372"/>
      <c r="G176" s="2758"/>
      <c r="H176" s="2756"/>
      <c r="I176" s="2756">
        <v>1</v>
      </c>
      <c r="J176" s="2728"/>
      <c r="K176" s="2412" t="s">
        <v>65</v>
      </c>
      <c r="L176" s="2335"/>
      <c r="M176" s="2335" t="s">
        <v>108</v>
      </c>
      <c r="N176" s="2731" t="str">
        <f>IF(Z176="","",INDEX(TERRITORY_MR_LIST,MATCH(Z176,TERRITORY_LIST_ID,0)))</f>
        <v/>
      </c>
      <c r="O176" s="2412" t="s">
        <v>65</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65"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365" customFormat="1" customHeight="1" ht="17.25">
      <c r="A178" s="2067"/>
      <c r="C178" s="2072"/>
      <c r="D178" s="2730"/>
      <c r="E178" s="2757"/>
      <c r="F178" s="2373"/>
      <c r="G178" s="2759"/>
      <c r="H178" s="2730"/>
      <c r="I178" s="2730"/>
      <c r="J178" s="2760"/>
      <c r="K178" s="2413"/>
      <c r="L178" s="2730"/>
      <c r="M178" s="2730"/>
      <c r="N178" s="2732"/>
      <c r="O178" s="2339"/>
      <c r="P178" s="544"/>
      <c r="Q178" s="545"/>
      <c r="R178" s="545" t="s">
        <v>253</v>
      </c>
      <c r="S178" s="2073"/>
      <c r="T178" s="2073"/>
      <c r="U178" s="2073"/>
      <c r="V178" s="2073"/>
      <c r="W178" s="1660"/>
      <c r="Y178" s="1486"/>
      <c r="Z178" s="1486"/>
      <c r="AA178" s="1486"/>
      <c r="AB178" s="1486"/>
      <c r="AC178" s="1486"/>
      <c r="AD178" s="1486"/>
      <c r="AE178" s="1486"/>
      <c r="AF178" s="1486"/>
      <c r="AG178" s="1486"/>
      <c r="AH178" s="1486"/>
      <c r="AI178" s="1486"/>
      <c r="AJ178" s="1486"/>
      <c r="AK178" s="1486"/>
    </row>
    <row s="11365" customFormat="1" customHeight="1" ht="17.25">
      <c r="A179" s="2067"/>
      <c r="C179" s="2072"/>
      <c r="D179" s="2730"/>
      <c r="E179" s="2757"/>
      <c r="F179" s="2373"/>
      <c r="G179" s="2759"/>
      <c r="H179" s="2730"/>
      <c r="I179" s="2730"/>
      <c r="J179" s="2760"/>
      <c r="K179" s="2339"/>
      <c r="L179" s="544"/>
      <c r="M179" s="545"/>
      <c r="N179" s="545" t="s">
        <v>254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65" customFormat="1" customHeight="1" ht="17.25">
      <c r="A180" s="2067"/>
      <c r="C180" s="2072"/>
      <c r="D180" s="2730"/>
      <c r="E180" s="2757"/>
      <c r="F180" s="2374"/>
      <c r="G180" s="2759"/>
      <c r="H180" s="544"/>
      <c r="I180" s="545"/>
      <c r="J180" s="545" t="s">
        <v>255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65" customFormat="1" customHeight="1" ht="17.25">
      <c r="A182" s="2067"/>
      <c r="C182" s="2069"/>
      <c r="D182" s="2057"/>
      <c r="E182" s="2074"/>
      <c r="F182" s="2011"/>
      <c r="G182" s="2075"/>
      <c r="H182" s="2756"/>
      <c r="I182" s="2756">
        <v>1</v>
      </c>
      <c r="J182" s="2728"/>
      <c r="K182" s="2412" t="s">
        <v>65</v>
      </c>
      <c r="L182" s="2335"/>
      <c r="M182" s="2335" t="s">
        <v>108</v>
      </c>
      <c r="N182" s="2731" t="str">
        <f>IF(Z182="","",INDEX(TERRITORY_MR_LIST,MATCH(Z182,TERRITORY_LIST_ID,0)))</f>
        <v/>
      </c>
      <c r="O182" s="2412" t="s">
        <v>65</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65"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365" customFormat="1" customHeight="1" ht="17.25">
      <c r="A184" s="2067"/>
      <c r="C184" s="2072"/>
      <c r="D184" s="2057"/>
      <c r="E184" s="2074"/>
      <c r="F184" s="2011"/>
      <c r="G184" s="2075"/>
      <c r="H184" s="2730"/>
      <c r="I184" s="2730"/>
      <c r="J184" s="2760"/>
      <c r="K184" s="2413"/>
      <c r="L184" s="2730"/>
      <c r="M184" s="2730"/>
      <c r="N184" s="2732"/>
      <c r="O184" s="2339"/>
      <c r="P184" s="544"/>
      <c r="Q184" s="545"/>
      <c r="R184" s="545" t="s">
        <v>253</v>
      </c>
      <c r="S184" s="2073"/>
      <c r="T184" s="2073"/>
      <c r="U184" s="2073"/>
      <c r="V184" s="2073"/>
      <c r="W184" s="1660"/>
      <c r="Y184" s="1486"/>
      <c r="Z184" s="1486"/>
      <c r="AA184" s="1486"/>
      <c r="AB184" s="1486"/>
      <c r="AC184" s="1486"/>
      <c r="AD184" s="1486"/>
      <c r="AE184" s="1486"/>
      <c r="AF184" s="1486"/>
      <c r="AG184" s="1486"/>
      <c r="AH184" s="1486"/>
      <c r="AI184" s="1486"/>
      <c r="AJ184" s="1486"/>
      <c r="AK184" s="1486"/>
    </row>
    <row s="11365" customFormat="1" customHeight="1" ht="17.25">
      <c r="A185" s="2067"/>
      <c r="C185" s="2072"/>
      <c r="D185" s="2057"/>
      <c r="E185" s="2074"/>
      <c r="F185" s="2011"/>
      <c r="G185" s="2075"/>
      <c r="H185" s="2730"/>
      <c r="I185" s="2730"/>
      <c r="J185" s="2760"/>
      <c r="K185" s="2339"/>
      <c r="L185" s="544"/>
      <c r="M185" s="545"/>
      <c r="N185" s="545" t="s">
        <v>254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65"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65</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65"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365" customFormat="1" customHeight="1" ht="17.25">
      <c r="A189" s="2067"/>
      <c r="C189" s="2072"/>
      <c r="D189" s="2057"/>
      <c r="E189" s="2074"/>
      <c r="F189" s="2011"/>
      <c r="G189" s="2075"/>
      <c r="H189" s="2057"/>
      <c r="I189" s="2057"/>
      <c r="J189" s="2078"/>
      <c r="K189" s="2075"/>
      <c r="L189" s="2730"/>
      <c r="M189" s="2730"/>
      <c r="N189" s="2732"/>
      <c r="O189" s="2339"/>
      <c r="P189" s="544"/>
      <c r="Q189" s="545"/>
      <c r="R189" s="545" t="s">
        <v>253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65"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65"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663" customFormat="1" customHeight="1" ht="17.25">
      <c r="A200" s="2042" t="s">
        <v>1944</v>
      </c>
    </row>
    <row customHeight="1" ht="17.25">
      <c r="G201" s="2066"/>
      <c r="H201" s="2066"/>
      <c r="I201" s="2066"/>
      <c r="M201" s="2062"/>
    </row>
    <row s="11299" customFormat="1" customHeight="1" ht="15">
      <c r="D202" s="2750"/>
      <c r="E202" s="2426"/>
      <c r="F202" s="2426"/>
      <c r="G202" s="2412"/>
      <c r="H202" s="1791"/>
      <c r="I202" s="2754">
        <v>1</v>
      </c>
      <c r="J202" s="2728"/>
      <c r="K202" s="1806"/>
      <c r="L202" s="2412" t="s">
        <v>65</v>
      </c>
      <c r="M202" s="2412" t="s">
        <v>65</v>
      </c>
      <c r="N202" s="1791"/>
      <c r="O202" s="2335" t="s">
        <v>108</v>
      </c>
      <c r="P202" s="2744"/>
      <c r="Q202" s="1807"/>
      <c r="R202" s="2412" t="s">
        <v>65</v>
      </c>
      <c r="S202" s="2412" t="s">
        <v>65</v>
      </c>
      <c r="T202" s="2082"/>
      <c r="U202" s="2335" t="s">
        <v>108</v>
      </c>
      <c r="V202" s="2751" t="str">
        <f>IF(AK202="","",INDEX(TERRITORY_MR_LIST,MATCH(AK202,TERRITORY_LIST_ID,0)))</f>
        <v/>
      </c>
      <c r="W202" s="1808"/>
      <c r="X202" s="2412" t="s">
        <v>65</v>
      </c>
      <c r="Y202" s="2412" t="s">
        <v>19</v>
      </c>
      <c r="Z202" s="1791"/>
      <c r="AA202" s="2335" t="s">
        <v>108</v>
      </c>
      <c r="AB202" s="2753"/>
      <c r="AC202" s="1809"/>
      <c r="AD202" s="2412" t="s">
        <v>65</v>
      </c>
      <c r="AE202" s="2412" t="s">
        <v>19</v>
      </c>
      <c r="AF202" s="1789"/>
      <c r="AG202" s="2038" t="s">
        <v>108</v>
      </c>
      <c r="AH202" s="1799"/>
      <c r="AI202" s="2028"/>
    </row>
    <row s="11299"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1299"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1299"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299"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603" customFormat="1" customHeight="1" ht="11.25">
      <c r="D207" s="2750"/>
      <c r="E207" s="2426"/>
      <c r="F207" s="2426"/>
      <c r="G207" s="2339"/>
      <c r="H207" s="1797"/>
      <c r="I207" s="1798"/>
      <c r="J207" s="2745" t="s">
        <v>255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299"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299"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299"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299"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299"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603"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3C8A8-C948-A5B8-6A88-EE36050F25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983" width="43.140625"/>
    <col min="2" max="2" style="13983" width="43.140625" hidden="1"/>
    <col min="3" max="3" style="13983" width="43.140625"/>
    <col min="4" max="5" style="13983" width="36.421875" customWidth="1"/>
    <col min="6" max="8" style="13984" width="36.421875" customWidth="1"/>
  </cols>
  <sheetData>
    <row customHeight="1" ht="9">
      <c r="A1" s="1073" t="s">
        <v>1948</v>
      </c>
      <c r="B1" s="1073"/>
      <c r="C1" s="1209" t="s">
        <v>1949</v>
      </c>
      <c r="D1" s="1207" t="s">
        <v>809</v>
      </c>
      <c r="E1" s="1207" t="s">
        <v>855</v>
      </c>
      <c r="F1" s="1207" t="s">
        <v>908</v>
      </c>
      <c r="G1" s="1207" t="s">
        <v>895</v>
      </c>
      <c r="H1" s="1207" t="s">
        <v>1624</v>
      </c>
    </row>
    <row customHeight="1" ht="9">
      <c r="A2" s="1210" t="s">
        <v>1950</v>
      </c>
      <c r="B2" s="1210"/>
      <c r="C2" s="1211" t="str">
        <f>INDEX(TEMPLATE_NUMBER_FORM_LIST,MATCH(TEMPLATE_SPHERE,TEMPLATE_SPHERE_LIST,0))</f>
        <v>10</v>
      </c>
      <c r="D2" s="1210" t="s">
        <v>1474</v>
      </c>
      <c r="E2" s="1210" t="s">
        <v>148</v>
      </c>
      <c r="F2" s="1212" t="s">
        <v>148</v>
      </c>
      <c r="G2" s="1210" t="s">
        <v>148</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1952</v>
      </c>
      <c r="B4" s="1073" t="s">
        <v>109</v>
      </c>
      <c r="C4" s="1211" t="str">
        <f>IF(TEMPLATE_SPHERE="HEAT",D4,IF(TEMPLATE_SPHERE="TKO",H4,E4))</f>
        <v>Форма 1. Информация об организации, осуществляющей горячее водоснабжение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1954</v>
      </c>
    </row>
    <row customHeight="1" ht="117">
      <c r="A5" s="1073" t="s">
        <v>1955</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1957</v>
      </c>
    </row>
    <row customHeight="1" ht="90">
      <c r="A6" s="1073" t="s">
        <v>1958</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1959</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1960</v>
      </c>
      <c r="E7" s="1073" t="s">
        <v>1961</v>
      </c>
      <c r="F7" s="1213"/>
      <c r="G7" s="1213"/>
      <c r="H7" s="1213"/>
    </row>
    <row customHeight="1" ht="108">
      <c r="A8" s="1073" t="s">
        <v>1962</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1162</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1576</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2009</v>
      </c>
      <c r="B31" s="1073"/>
      <c r="C31" s="1211" t="str">
        <f>IF(TEMPLATE_SPHERE="HEAT",D31,IF(TEMPLATE_SPHERE="TKO",H31,E31))</f>
        <v>Форма 1. Информация об организации, осуществляющей горячее водоснабжение (общая информация)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2011</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139CA8-0E2F-5F53-7A68-34758505FC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983" width="9.140625"/>
    <col min="3" max="7" style="14027" width="8.00390625" customWidth="1"/>
    <col min="8" max="12" style="14027" width="8.57421875" customWidth="1"/>
    <col min="13" max="14" style="14027" width="27.7109375" customWidth="1"/>
    <col min="15" max="19" style="14027" width="5.140625" customWidth="1"/>
    <col min="20" max="24" style="14027" width="27.7109375" customWidth="1"/>
    <col min="25" max="25" style="14028" width="1.8515625" customWidth="1"/>
    <col min="26" max="26" style="13983" width="27.7109375" customWidth="1"/>
    <col min="27" max="27" style="14029" width="27.7109375" customWidth="1"/>
    <col min="28" max="29" style="13983" width="27.7109375" customWidth="1"/>
    <col min="30" max="30" style="13983" width="3.8515625" customWidth="1"/>
    <col min="31" max="34" style="13983" width="9.140625"/>
  </cols>
  <sheetData>
    <row s="13985"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809</v>
      </c>
      <c r="D2" s="1068" t="s">
        <v>855</v>
      </c>
      <c r="E2" s="1068" t="s">
        <v>908</v>
      </c>
      <c r="F2" s="1068" t="s">
        <v>895</v>
      </c>
      <c r="G2" s="1068" t="s">
        <v>1624</v>
      </c>
      <c r="H2" s="1070"/>
      <c r="I2" s="1070"/>
      <c r="J2" s="1070"/>
      <c r="K2" s="1070"/>
      <c r="L2" s="1070"/>
      <c r="M2" s="1070"/>
      <c r="N2" s="1070"/>
      <c r="O2" s="1068" t="s">
        <v>809</v>
      </c>
      <c r="P2" s="1068" t="s">
        <v>855</v>
      </c>
      <c r="Q2" s="1068" t="s">
        <v>895</v>
      </c>
      <c r="R2" s="1068" t="s">
        <v>908</v>
      </c>
      <c r="S2" s="1068" t="s">
        <v>1624</v>
      </c>
      <c r="T2" s="1068" t="s">
        <v>809</v>
      </c>
      <c r="U2" s="1068" t="s">
        <v>855</v>
      </c>
      <c r="V2" s="1068" t="s">
        <v>895</v>
      </c>
      <c r="W2" s="1068" t="s">
        <v>908</v>
      </c>
      <c r="X2" s="1068" t="s">
        <v>1624</v>
      </c>
      <c r="Y2" s="1068"/>
      <c r="Z2" s="1068" t="s">
        <v>809</v>
      </c>
      <c r="AA2" s="1077" t="s">
        <v>855</v>
      </c>
      <c r="AB2" s="1068" t="s">
        <v>895</v>
      </c>
      <c r="AC2" s="1068" t="s">
        <v>908</v>
      </c>
      <c r="AD2" s="1068" t="s">
        <v>1624</v>
      </c>
    </row>
    <row customHeight="1" ht="162">
      <c r="A3" s="1072" t="s">
        <v>26</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1657</v>
      </c>
      <c r="F11" s="2826" t="s">
        <v>2025</v>
      </c>
      <c r="G11" s="2826"/>
      <c r="H11" s="1125" t="s">
        <v>2026</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1660</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710</v>
      </c>
      <c r="P20" s="1184" t="s">
        <v>710</v>
      </c>
      <c r="Q20" s="1184" t="s">
        <v>710</v>
      </c>
      <c r="R20" s="1184" t="s">
        <v>710</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309</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309</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312</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730</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312</v>
      </c>
      <c r="P25" s="1184" t="s">
        <v>309</v>
      </c>
      <c r="Q25" s="1184" t="s">
        <v>737</v>
      </c>
      <c r="R25" s="1184" t="s">
        <v>309</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654</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726</v>
      </c>
      <c r="P26" s="1184" t="s">
        <v>720</v>
      </c>
      <c r="Q26" s="1184" t="s">
        <v>2064</v>
      </c>
      <c r="R26" s="1184" t="s">
        <v>720</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2065</v>
      </c>
      <c r="V26" s="1191" t="s">
        <v>2065</v>
      </c>
      <c r="W26" s="1191" t="s">
        <v>2065</v>
      </c>
      <c r="X26" s="1070"/>
      <c r="Y26" s="1227"/>
      <c r="Z26" s="1073"/>
      <c r="AA26" s="1076"/>
      <c r="AB26" s="1073"/>
      <c r="AC26" s="1073"/>
      <c r="AD26" s="1073"/>
    </row>
    <row customHeight="1" ht="18">
      <c r="A27" s="1072"/>
      <c r="B27" s="1126">
        <v>10</v>
      </c>
      <c r="C27" s="1070" t="s">
        <v>658</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728</v>
      </c>
      <c r="P27" s="1184" t="s">
        <v>722</v>
      </c>
      <c r="Q27" s="1184" t="s">
        <v>2066</v>
      </c>
      <c r="R27" s="1184" t="s">
        <v>722</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730</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737</v>
      </c>
      <c r="P29" s="1184" t="s">
        <v>312</v>
      </c>
      <c r="Q29" s="1184"/>
      <c r="R29" s="1184" t="s">
        <v>312</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739</v>
      </c>
      <c r="P30" s="1184" t="s">
        <v>730</v>
      </c>
      <c r="Q30" s="1184" t="s">
        <v>739</v>
      </c>
      <c r="R30" s="1184" t="s">
        <v>730</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2073</v>
      </c>
      <c r="P31" s="1184" t="s">
        <v>733</v>
      </c>
      <c r="Q31" s="1184" t="s">
        <v>2073</v>
      </c>
      <c r="R31" s="1184" t="s">
        <v>733</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735</v>
      </c>
      <c r="Q32" s="1184" t="s">
        <v>2076</v>
      </c>
      <c r="R32" s="1184" t="s">
        <v>735</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741</v>
      </c>
      <c r="P33" s="1184" t="s">
        <v>737</v>
      </c>
      <c r="Q33" s="1184" t="s">
        <v>741</v>
      </c>
      <c r="R33" s="1184" t="s">
        <v>737</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743</v>
      </c>
      <c r="P36" s="1184" t="s">
        <v>739</v>
      </c>
      <c r="Q36" s="1184" t="s">
        <v>743</v>
      </c>
      <c r="R36" s="1184" t="s">
        <v>739</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747</v>
      </c>
      <c r="P39" s="1184" t="s">
        <v>741</v>
      </c>
      <c r="Q39" s="1184" t="s">
        <v>747</v>
      </c>
      <c r="R39" s="1184" t="s">
        <v>741</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743</v>
      </c>
      <c r="Q40" s="1184" t="s">
        <v>2099</v>
      </c>
      <c r="R40" s="1184" t="s">
        <v>743</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747</v>
      </c>
      <c r="Q43" s="1184" t="s">
        <v>2110</v>
      </c>
      <c r="R43" s="1184" t="s">
        <v>747</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2142</v>
      </c>
      <c r="U52" s="1070" t="s">
        <v>2143</v>
      </c>
      <c r="V52" s="1070" t="s">
        <v>2144</v>
      </c>
      <c r="W52" s="1070" t="s">
        <v>2145</v>
      </c>
      <c r="X52" s="1070"/>
      <c r="Y52" s="1227"/>
      <c r="Z52" s="1073" t="s">
        <v>751</v>
      </c>
      <c r="AA52" s="1076" t="s">
        <v>751</v>
      </c>
      <c r="AB52" s="1076" t="s">
        <v>751</v>
      </c>
      <c r="AC52" s="1076" t="s">
        <v>751</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755</v>
      </c>
      <c r="P53" s="1184" t="s">
        <v>326</v>
      </c>
      <c r="Q53" s="1184" t="s">
        <v>326</v>
      </c>
      <c r="R53" s="1184" t="s">
        <v>326</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90</v>
      </c>
      <c r="Q54" s="1184" t="s">
        <v>90</v>
      </c>
      <c r="R54" s="1184" t="s">
        <v>90</v>
      </c>
      <c r="S54" s="1184"/>
      <c r="T54" s="1070" t="s">
        <v>753</v>
      </c>
      <c r="U54" s="1070" t="s">
        <v>753</v>
      </c>
      <c r="V54" s="1070" t="s">
        <v>753</v>
      </c>
      <c r="W54" s="1070" t="s">
        <v>753</v>
      </c>
      <c r="X54" s="1070"/>
      <c r="Y54" s="1227"/>
      <c r="Z54" s="1073" t="s">
        <v>754</v>
      </c>
      <c r="AA54" s="1073" t="s">
        <v>754</v>
      </c>
      <c r="AB54" s="1073" t="s">
        <v>754</v>
      </c>
      <c r="AC54" s="1073" t="s">
        <v>754</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315</v>
      </c>
      <c r="P55" s="1184" t="s">
        <v>755</v>
      </c>
      <c r="Q55" s="1184" t="s">
        <v>755</v>
      </c>
      <c r="R55" s="1184" t="s">
        <v>755</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1023</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1140</v>
      </c>
      <c r="P56" s="1184" t="s">
        <v>758</v>
      </c>
      <c r="Q56" s="1184" t="s">
        <v>758</v>
      </c>
      <c r="R56" s="1184" t="s">
        <v>758</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2149</v>
      </c>
      <c r="V56" s="1070" t="s">
        <v>2149</v>
      </c>
      <c r="W56" s="1070" t="s">
        <v>2149</v>
      </c>
      <c r="X56" s="1070"/>
      <c r="Y56" s="1227"/>
      <c r="Z56" s="1073" t="s">
        <v>760</v>
      </c>
      <c r="AA56" s="1073" t="s">
        <v>760</v>
      </c>
      <c r="AB56" s="1073" t="s">
        <v>760</v>
      </c>
      <c r="AC56" s="1073" t="s">
        <v>760</v>
      </c>
      <c r="AD56" s="1073"/>
    </row>
    <row customHeight="1" ht="27">
      <c r="A57" s="1072"/>
      <c r="B57" s="1126">
        <v>40</v>
      </c>
      <c r="C57" s="1070" t="s">
        <v>1025</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761</v>
      </c>
      <c r="Q57" s="1184" t="s">
        <v>761</v>
      </c>
      <c r="R57" s="1184" t="s">
        <v>761</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2151</v>
      </c>
      <c r="V57" s="1070" t="s">
        <v>2151</v>
      </c>
      <c r="W57" s="1070" t="s">
        <v>2151</v>
      </c>
      <c r="X57" s="1070"/>
      <c r="Y57" s="1227"/>
      <c r="Z57" s="1073" t="s">
        <v>763</v>
      </c>
      <c r="AA57" s="1073" t="s">
        <v>763</v>
      </c>
      <c r="AB57" s="1073" t="s">
        <v>763</v>
      </c>
      <c r="AC57" s="1073" t="s">
        <v>763</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883</v>
      </c>
      <c r="P58" s="1184" t="s">
        <v>797</v>
      </c>
      <c r="Q58" s="1184" t="s">
        <v>797</v>
      </c>
      <c r="R58" s="1184" t="s">
        <v>797</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631</v>
      </c>
      <c r="U60" s="1070" t="s">
        <v>631</v>
      </c>
      <c r="V60" s="1070" t="s">
        <v>631</v>
      </c>
      <c r="W60" s="1070" t="s">
        <v>631</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147</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148</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149</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147</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148</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149</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636</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147</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148</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149</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150</v>
      </c>
      <c r="P88" s="1184"/>
      <c r="Q88" s="1184"/>
      <c r="R88" s="1184"/>
      <c r="S88" s="1184"/>
      <c r="T88" s="1070" t="s">
        <v>668</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676</v>
      </c>
      <c r="U89" s="1070" t="s">
        <v>676</v>
      </c>
      <c r="V89" s="1070" t="s">
        <v>676</v>
      </c>
      <c r="W89" s="1070" t="s">
        <v>676</v>
      </c>
      <c r="X89" s="1070"/>
      <c r="Y89" s="1227"/>
      <c r="Z89" s="1073"/>
      <c r="AA89" s="1076"/>
      <c r="AB89" s="1073"/>
      <c r="AC89" s="1073"/>
      <c r="AD89" s="1073"/>
    </row>
    <row customHeight="1" ht="27">
      <c r="A90" s="1072"/>
      <c r="B90" s="1126">
        <v>73</v>
      </c>
      <c r="C90" s="1070" t="s">
        <v>2204</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152</v>
      </c>
      <c r="P90" s="1184"/>
      <c r="Q90" s="1184"/>
      <c r="R90" s="1184"/>
      <c r="S90" s="1184"/>
      <c r="T90" s="1070" t="s">
        <v>678</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151</v>
      </c>
      <c r="Q91" s="1184" t="s">
        <v>151</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1468</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1149</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1474</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1486</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1500</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1512</v>
      </c>
      <c r="P99" s="1184"/>
      <c r="Q99" s="1184"/>
      <c r="R99" s="1184"/>
      <c r="S99" s="1184"/>
      <c r="T99" s="1070" t="s">
        <v>2222</v>
      </c>
      <c r="U99" s="1070"/>
      <c r="V99" s="1070"/>
      <c r="W99" s="1070"/>
      <c r="X99" s="1070"/>
      <c r="Y99" s="1227"/>
      <c r="Z99" s="1073" t="s">
        <v>633</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2223</v>
      </c>
      <c r="P100" s="1184"/>
      <c r="Q100" s="1184"/>
      <c r="R100" s="1184"/>
      <c r="S100" s="1184"/>
      <c r="T100" s="1070" t="s">
        <v>2224</v>
      </c>
      <c r="U100" s="1070"/>
      <c r="V100" s="1070"/>
      <c r="W100" s="1070"/>
      <c r="X100" s="1070"/>
      <c r="Y100" s="1227"/>
      <c r="Z100" s="1073" t="s">
        <v>633</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2225</v>
      </c>
      <c r="P101" s="1184"/>
      <c r="Q101" s="1184"/>
      <c r="R101" s="1184"/>
      <c r="S101" s="1184"/>
      <c r="T101" s="1070" t="s">
        <v>2226</v>
      </c>
      <c r="U101" s="1070"/>
      <c r="V101" s="1070"/>
      <c r="W101" s="1070"/>
      <c r="X101" s="1070"/>
      <c r="Y101" s="1227"/>
      <c r="Z101" s="1073" t="s">
        <v>633</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2227</v>
      </c>
      <c r="D148" s="1070" t="s">
        <v>1568</v>
      </c>
      <c r="E148" s="1070" t="s">
        <v>1668</v>
      </c>
      <c r="F148" s="1070" t="s">
        <v>2228</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1ADD8-7668-C6E1-6138-BD551BAC03C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38" width="10.57421875" hidden="1"/>
    <col min="2" max="2" style="11238" width="11.00390625" hidden="1" customWidth="1"/>
    <col min="3" max="3" style="11238" width="10.57421875" hidden="1"/>
    <col min="4" max="4" style="11238" width="11.8515625" hidden="1" customWidth="1"/>
    <col min="5" max="5" style="11238" width="12.28125" hidden="1" customWidth="1"/>
    <col min="6" max="8" style="12053" width="12.28125" hidden="1" customWidth="1"/>
    <col min="9" max="9" style="12054" width="3.00390625" customWidth="1"/>
    <col min="10" max="11" style="12055" width="3.00390625" customWidth="1"/>
    <col min="12" max="12" style="12056" width="12.00390625" customWidth="1"/>
    <col min="13" max="13" style="11160" width="31.00390625" customWidth="1"/>
    <col min="14" max="14" style="11160" width="1.00390625" customWidth="1"/>
    <col min="15" max="18" style="11160" width="24.00390625" customWidth="1"/>
    <col min="19" max="19" style="11160" width="11.00390625" customWidth="1"/>
    <col min="20" max="20" style="11160" width="3.7109375" customWidth="1"/>
    <col min="21" max="21" style="11160" width="11.00390625" customWidth="1"/>
    <col min="22" max="22" style="11160" width="8.57421875" customWidth="1"/>
    <col min="23" max="23" style="11160" width="4.00390625" customWidth="1"/>
    <col min="24" max="24" style="11160" width="115.00390625" customWidth="1"/>
    <col min="25" max="29" style="11239" width="10.00390625" customWidth="1"/>
    <col min="30" max="30" style="1116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ООО "Рыбинская генерация"</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365"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365" customFormat="1" customHeight="1" ht="24">
      <c r="A9" s="1595"/>
      <c r="B9" s="1595"/>
      <c r="C9" s="1595"/>
      <c r="D9" s="1595"/>
      <c r="E9" s="1595"/>
      <c r="F9" s="1595"/>
      <c r="G9" s="1595"/>
      <c r="H9" s="1595"/>
      <c r="L9" s="1503"/>
      <c r="M9" s="522" t="s">
        <v>423</v>
      </c>
      <c r="N9" s="531"/>
      <c r="O9" s="2478" t="str">
        <f>IF(TITLE_DATE_CHANGE_PERIOD="",IF(TITLE_DATE_PR="","",TITLE_DATE_PR),TITLE_DATE_CHANGE_PERIOD)</f>
        <v>45408</v>
      </c>
      <c r="P9" s="2478"/>
      <c r="Q9" s="2478"/>
      <c r="R9" s="2478"/>
      <c r="S9" s="2478"/>
      <c r="T9" s="2478"/>
      <c r="U9" s="2478"/>
      <c r="V9" s="553"/>
      <c r="W9" s="553"/>
      <c r="X9" s="507"/>
      <c r="Y9" s="595"/>
      <c r="Z9" s="595"/>
      <c r="AA9" s="595"/>
      <c r="AB9" s="595"/>
      <c r="AC9" s="595"/>
      <c r="AD9" s="645">
        <v>23</v>
      </c>
    </row>
    <row s="11365"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04/4240</v>
      </c>
      <c r="P10" s="2478"/>
      <c r="Q10" s="2478"/>
      <c r="R10" s="2478"/>
      <c r="S10" s="2478"/>
      <c r="T10" s="2478"/>
      <c r="U10" s="2478"/>
      <c r="V10" s="553"/>
      <c r="W10" s="553"/>
      <c r="X10" s="507"/>
      <c r="Y10" s="595"/>
      <c r="Z10" s="595"/>
      <c r="AA10" s="595"/>
      <c r="AB10" s="595"/>
      <c r="AC10" s="595"/>
      <c r="AD10" s="645">
        <v>23</v>
      </c>
    </row>
    <row s="11365"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365"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302</v>
      </c>
      <c r="M14" s="2354"/>
      <c r="N14" s="2354"/>
      <c r="O14" s="2354"/>
      <c r="P14" s="2354"/>
      <c r="Q14" s="2354"/>
      <c r="R14" s="2354"/>
      <c r="S14" s="2354"/>
      <c r="T14" s="2354"/>
      <c r="U14" s="2354"/>
      <c r="V14" s="2354"/>
      <c r="W14" s="2354"/>
      <c r="X14" s="2354" t="s">
        <v>303</v>
      </c>
      <c r="AD14" s="1382">
        <v>14</v>
      </c>
    </row>
    <row customHeight="1" ht="14.699999999999998">
      <c r="J15" s="603"/>
      <c r="K15" s="603"/>
      <c r="L15" s="2500" t="s">
        <v>87</v>
      </c>
      <c r="M15" s="2436" t="s">
        <v>428</v>
      </c>
      <c r="N15" s="528"/>
      <c r="O15" s="2501" t="s">
        <v>2232</v>
      </c>
      <c r="P15" s="2502"/>
      <c r="Q15" s="2502"/>
      <c r="R15" s="2502"/>
      <c r="S15" s="2502"/>
      <c r="T15" s="2502"/>
      <c r="U15" s="2503"/>
      <c r="V15" s="2504" t="s">
        <v>430</v>
      </c>
      <c r="W15" s="2507" t="s">
        <v>1146</v>
      </c>
      <c r="X15" s="2354"/>
      <c r="AD15" s="1382">
        <v>14</v>
      </c>
    </row>
    <row customHeight="1" ht="35.699999999999996">
      <c r="J16" s="603"/>
      <c r="K16" s="603"/>
      <c r="L16" s="2500"/>
      <c r="M16" s="2436"/>
      <c r="N16" s="1258"/>
      <c r="O16" s="2487" t="s">
        <v>433</v>
      </c>
      <c r="P16" s="2487" t="s">
        <v>434</v>
      </c>
      <c r="Q16" s="2489" t="s">
        <v>435</v>
      </c>
      <c r="R16" s="2490"/>
      <c r="S16" s="2489" t="s">
        <v>448</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1808"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398</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399</v>
      </c>
      <c r="N20" s="527"/>
      <c r="O20" s="2833" t="str">
        <f>INDEX(PT_DIFFERENTIATION_TER,MATCH(B19,PT_DIFFERENTIATION_TER_ID,0))</f>
        <v/>
      </c>
      <c r="P20" s="2833"/>
      <c r="Q20" s="2833"/>
      <c r="R20" s="2833"/>
      <c r="S20" s="2833"/>
      <c r="T20" s="2833"/>
      <c r="U20" s="2833"/>
      <c r="V20" s="2833"/>
      <c r="W20" s="2833"/>
      <c r="X20" s="1485" t="s">
        <v>400</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401</v>
      </c>
      <c r="N21" s="527"/>
      <c r="O21" s="2833" t="str">
        <f>INDEX(PT_DIFFERENTIATION_CS,MATCH(C19,PT_DIFFERENTIATION_CS_ID,0))</f>
        <v/>
      </c>
      <c r="P21" s="2833"/>
      <c r="Q21" s="2833"/>
      <c r="R21" s="2833"/>
      <c r="S21" s="2833"/>
      <c r="T21" s="2833"/>
      <c r="U21" s="2833"/>
      <c r="V21" s="2833"/>
      <c r="W21" s="2833"/>
      <c r="X21" s="1485" t="s">
        <v>402</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403</v>
      </c>
      <c r="N22" s="527"/>
      <c r="O22" s="2833" t="str">
        <f>INDEX(PT_DIFFERENTIATION_IST_TE,MATCH(D19,PT_DIFFERENTIATION_IST_TE_ID,0))</f>
        <v/>
      </c>
      <c r="P22" s="2833"/>
      <c r="Q22" s="2833"/>
      <c r="R22" s="2833"/>
      <c r="S22" s="2833"/>
      <c r="T22" s="2833"/>
      <c r="U22" s="2833"/>
      <c r="V22" s="2833"/>
      <c r="W22" s="2833"/>
      <c r="X22" s="1485" t="s">
        <v>404</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406</v>
      </c>
      <c r="N23" s="527"/>
      <c r="O23" s="2532"/>
      <c r="P23" s="2532"/>
      <c r="Q23" s="2532"/>
      <c r="R23" s="2532"/>
      <c r="S23" s="2532"/>
      <c r="T23" s="2532"/>
      <c r="U23" s="2532"/>
      <c r="V23" s="2532"/>
      <c r="W23" s="2532"/>
      <c r="X23" s="1485" t="s">
        <v>407</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409</v>
      </c>
      <c r="N24" s="527"/>
      <c r="O24" s="2472"/>
      <c r="P24" s="2473"/>
      <c r="Q24" s="2473"/>
      <c r="R24" s="2473"/>
      <c r="S24" s="2473"/>
      <c r="T24" s="2473"/>
      <c r="U24" s="2473"/>
      <c r="V24" s="2473"/>
      <c r="W24" s="2474"/>
      <c r="X24" s="1485" t="s">
        <v>410</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412</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413</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414</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415</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588</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299" customFormat="1" customHeight="1" ht="11.549999999999999">
      <c r="A33" s="1590"/>
      <c r="B33" s="1590"/>
      <c r="C33" s="1590"/>
      <c r="D33" s="1590"/>
      <c r="E33" s="1590" t="s">
        <v>255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805</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FEB3D-7672-32B9-3768-C9542C5E8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C1095-67F3-E435-03E8-82F70BD42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CF7C3-A495-F678-9998-2FC18A527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5F058-90BE-AA68-E8D6-13DE70828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17763-4868-99DA-5D48-E661918DD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28E6B-9068-FCD4-23A8-BC4E5EA29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FB5C5-F8C7-9898-7768-5FF142492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D7437-4678-F128-33DC-E6B90778C3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75D24-3B57-CBC2-37A8-36F0033C4B5B}" mc:Ignorable="x14ac xr xr2 xr3">
  <dimension ref="A1:E8"/>
  <sheetViews>
    <sheetView topLeftCell="A1" showGridLines="0" workbookViewId="0">
      <selection activeCell="A1" sqref="A1"/>
    </sheetView>
  </sheetViews>
  <sheetFormatPr customHeight="1" defaultRowHeight="11.25"/>
  <cols>
    <col min="1" max="1" style="14084" width="10.57421875" customWidth="1"/>
    <col min="2" max="2" style="14084" width="8.7109375" customWidth="1"/>
    <col min="3" max="3" style="14084" width="18.140625" customWidth="1"/>
    <col min="4" max="4" style="14084" width="12.57421875" customWidth="1"/>
  </cols>
  <sheetData>
    <row customHeight="1" ht="11.25">
      <c r="A1" s="2842" t="s">
        <v>2237</v>
      </c>
      <c r="B1" s="2843" t="s">
        <v>2238</v>
      </c>
      <c r="C1" s="2844" t="s">
        <v>2239</v>
      </c>
      <c r="D1" s="2845"/>
      <c r="E1" s="1063" t="s">
        <v>2240</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1660</v>
      </c>
      <c r="C5" s="2851" t="s">
        <v>2004</v>
      </c>
      <c r="D5" s="2852" t="s">
        <v>2241</v>
      </c>
      <c r="E5" s="1063"/>
    </row>
    <row s="11299"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D742F-D088-3B08-5A9A-485300FA1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7A88-3BB7-9188-69C8-40748BCCE5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2AA98-9698-0A43-244C-16A526B511D7}" mc:Ignorable="x14ac xr xr2 xr3">
  <sheetPr>
    <tabColor rgb="FFFFCC99"/>
  </sheetPr>
  <dimension ref="A1:I409"/>
  <sheetViews>
    <sheetView topLeftCell="A1" showGridLines="0" workbookViewId="0">
      <selection activeCell="A1" sqref="A1"/>
    </sheetView>
  </sheetViews>
  <sheetFormatPr defaultColWidth="9.140625" customHeight="1" defaultRowHeight="11.25"/>
  <cols>
    <col min="1" max="2" style="11299" width="9.140625"/>
    <col min="3" max="3" style="11299" width="20.7109375" customWidth="1"/>
    <col min="4" max="4" style="11299" width="25.140625" customWidth="1"/>
    <col min="5" max="9" style="11299"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441" t="s">
        <v>2251</v>
      </c>
      <c r="B2" s="5441" t="s">
        <v>16</v>
      </c>
      <c r="C2" s="5441" t="s">
        <v>2252</v>
      </c>
      <c r="D2" s="5441" t="s">
        <v>2253</v>
      </c>
      <c r="E2" s="5441" t="s">
        <v>2254</v>
      </c>
      <c r="F2" s="5441" t="s">
        <v>2255</v>
      </c>
      <c r="G2" s="5441" t="s">
        <v>28</v>
      </c>
      <c r="H2" s="5441" t="s">
        <v>28</v>
      </c>
      <c r="I2" s="5441" t="s">
        <v>809</v>
      </c>
    </row>
    <row customHeight="1" ht="11.25">
      <c r="A3" s="5441" t="s">
        <v>2251</v>
      </c>
      <c r="B3" s="5441" t="s">
        <v>16</v>
      </c>
      <c r="C3" s="5441" t="s">
        <v>2256</v>
      </c>
      <c r="D3" s="5441" t="s">
        <v>2257</v>
      </c>
      <c r="E3" s="5441" t="s">
        <v>2258</v>
      </c>
      <c r="F3" s="5441" t="s">
        <v>2259</v>
      </c>
      <c r="G3" s="5441" t="s">
        <v>2260</v>
      </c>
      <c r="H3" s="5441" t="s">
        <v>28</v>
      </c>
      <c r="I3" s="5441" t="s">
        <v>809</v>
      </c>
    </row>
    <row customHeight="1" ht="11.25">
      <c r="A4" s="5441" t="s">
        <v>2251</v>
      </c>
      <c r="B4" s="5441" t="s">
        <v>16</v>
      </c>
      <c r="C4" s="5441" t="s">
        <v>2261</v>
      </c>
      <c r="D4" s="5441" t="s">
        <v>2262</v>
      </c>
      <c r="E4" s="5441" t="s">
        <v>2263</v>
      </c>
      <c r="F4" s="5441" t="s">
        <v>2264</v>
      </c>
      <c r="G4" s="5441" t="s">
        <v>2265</v>
      </c>
      <c r="H4" s="5441" t="s">
        <v>28</v>
      </c>
      <c r="I4" s="5441" t="s">
        <v>809</v>
      </c>
    </row>
    <row customHeight="1" ht="11.25">
      <c r="A5" s="5441" t="s">
        <v>2251</v>
      </c>
      <c r="B5" s="5441" t="s">
        <v>16</v>
      </c>
      <c r="C5" s="5441" t="s">
        <v>2266</v>
      </c>
      <c r="D5" s="5441" t="s">
        <v>2267</v>
      </c>
      <c r="E5" s="5441" t="s">
        <v>2268</v>
      </c>
      <c r="F5" s="5441" t="s">
        <v>2269</v>
      </c>
      <c r="G5" s="5441" t="s">
        <v>28</v>
      </c>
      <c r="H5" s="5441" t="s">
        <v>28</v>
      </c>
      <c r="I5" s="5441" t="s">
        <v>809</v>
      </c>
    </row>
    <row customHeight="1" ht="11.25">
      <c r="A6" s="5441" t="s">
        <v>2251</v>
      </c>
      <c r="B6" s="5441" t="s">
        <v>16</v>
      </c>
      <c r="C6" s="5441" t="s">
        <v>2270</v>
      </c>
      <c r="D6" s="5441" t="s">
        <v>2271</v>
      </c>
      <c r="E6" s="5441" t="s">
        <v>2272</v>
      </c>
      <c r="F6" s="5441" t="s">
        <v>2273</v>
      </c>
      <c r="G6" s="5441" t="s">
        <v>28</v>
      </c>
      <c r="H6" s="5441" t="s">
        <v>28</v>
      </c>
      <c r="I6" s="5441" t="s">
        <v>809</v>
      </c>
    </row>
    <row customHeight="1" ht="11.25">
      <c r="A7" s="5441" t="s">
        <v>2251</v>
      </c>
      <c r="B7" s="5441" t="s">
        <v>16</v>
      </c>
      <c r="C7" s="5441" t="s">
        <v>2274</v>
      </c>
      <c r="D7" s="5441" t="s">
        <v>2275</v>
      </c>
      <c r="E7" s="5441" t="s">
        <v>2276</v>
      </c>
      <c r="F7" s="5441" t="s">
        <v>2277</v>
      </c>
      <c r="G7" s="5441" t="s">
        <v>28</v>
      </c>
      <c r="H7" s="5441" t="s">
        <v>28</v>
      </c>
      <c r="I7" s="5441" t="s">
        <v>809</v>
      </c>
    </row>
    <row customHeight="1" ht="11.25">
      <c r="A8" s="5441" t="s">
        <v>2251</v>
      </c>
      <c r="B8" s="5441" t="s">
        <v>16</v>
      </c>
      <c r="C8" s="5441" t="s">
        <v>2278</v>
      </c>
      <c r="D8" s="5441" t="s">
        <v>2279</v>
      </c>
      <c r="E8" s="5441" t="s">
        <v>2280</v>
      </c>
      <c r="F8" s="5441" t="s">
        <v>2281</v>
      </c>
      <c r="G8" s="5441" t="s">
        <v>28</v>
      </c>
      <c r="H8" s="5441" t="s">
        <v>28</v>
      </c>
      <c r="I8" s="5441" t="s">
        <v>809</v>
      </c>
    </row>
    <row customHeight="1" ht="11.25">
      <c r="A9" s="5441" t="s">
        <v>2251</v>
      </c>
      <c r="B9" s="5441" t="s">
        <v>16</v>
      </c>
      <c r="C9" s="5441" t="s">
        <v>2282</v>
      </c>
      <c r="D9" s="5441" t="s">
        <v>2283</v>
      </c>
      <c r="E9" s="5441" t="s">
        <v>2284</v>
      </c>
      <c r="F9" s="5441" t="s">
        <v>2285</v>
      </c>
      <c r="G9" s="5441" t="s">
        <v>28</v>
      </c>
      <c r="H9" s="5441" t="s">
        <v>28</v>
      </c>
      <c r="I9" s="5441" t="s">
        <v>809</v>
      </c>
    </row>
    <row customHeight="1" ht="11.25">
      <c r="A10" s="5441" t="s">
        <v>2251</v>
      </c>
      <c r="B10" s="5441" t="s">
        <v>16</v>
      </c>
      <c r="C10" s="5441" t="s">
        <v>2286</v>
      </c>
      <c r="D10" s="5441" t="s">
        <v>2287</v>
      </c>
      <c r="E10" s="5441" t="s">
        <v>2288</v>
      </c>
      <c r="F10" s="5441" t="s">
        <v>2289</v>
      </c>
      <c r="G10" s="5441" t="s">
        <v>28</v>
      </c>
      <c r="H10" s="5441" t="s">
        <v>28</v>
      </c>
      <c r="I10" s="5441" t="s">
        <v>809</v>
      </c>
    </row>
    <row customHeight="1" ht="11.25">
      <c r="A11" s="5441" t="s">
        <v>2251</v>
      </c>
      <c r="B11" s="5441" t="s">
        <v>16</v>
      </c>
      <c r="C11" s="5441" t="s">
        <v>2290</v>
      </c>
      <c r="D11" s="5441" t="s">
        <v>2291</v>
      </c>
      <c r="E11" s="5441" t="s">
        <v>2292</v>
      </c>
      <c r="F11" s="5441" t="s">
        <v>2293</v>
      </c>
      <c r="G11" s="5441" t="s">
        <v>28</v>
      </c>
      <c r="H11" s="5441" t="s">
        <v>28</v>
      </c>
      <c r="I11" s="5441" t="s">
        <v>809</v>
      </c>
    </row>
    <row customHeight="1" ht="11.25">
      <c r="A12" s="5441" t="s">
        <v>2251</v>
      </c>
      <c r="B12" s="5441" t="s">
        <v>16</v>
      </c>
      <c r="C12" s="5441" t="s">
        <v>2294</v>
      </c>
      <c r="D12" s="5441" t="s">
        <v>2295</v>
      </c>
      <c r="E12" s="5441" t="s">
        <v>2296</v>
      </c>
      <c r="F12" s="5441" t="s">
        <v>2297</v>
      </c>
      <c r="G12" s="5441" t="s">
        <v>28</v>
      </c>
      <c r="H12" s="5441" t="s">
        <v>28</v>
      </c>
      <c r="I12" s="5441" t="s">
        <v>809</v>
      </c>
    </row>
    <row customHeight="1" ht="11.25">
      <c r="A13" s="5441" t="s">
        <v>2251</v>
      </c>
      <c r="B13" s="5441" t="s">
        <v>16</v>
      </c>
      <c r="C13" s="5441" t="s">
        <v>2298</v>
      </c>
      <c r="D13" s="5441" t="s">
        <v>2299</v>
      </c>
      <c r="E13" s="5441" t="s">
        <v>2300</v>
      </c>
      <c r="F13" s="5441" t="s">
        <v>2269</v>
      </c>
      <c r="G13" s="5441" t="s">
        <v>28</v>
      </c>
      <c r="H13" s="5441" t="s">
        <v>28</v>
      </c>
      <c r="I13" s="5441" t="s">
        <v>809</v>
      </c>
    </row>
    <row customHeight="1" ht="11.25">
      <c r="A14" s="5441" t="s">
        <v>2251</v>
      </c>
      <c r="B14" s="5441" t="s">
        <v>16</v>
      </c>
      <c r="C14" s="5441" t="s">
        <v>2301</v>
      </c>
      <c r="D14" s="5441" t="s">
        <v>2302</v>
      </c>
      <c r="E14" s="5441" t="s">
        <v>2303</v>
      </c>
      <c r="F14" s="5441" t="s">
        <v>2304</v>
      </c>
      <c r="G14" s="5441" t="s">
        <v>2305</v>
      </c>
      <c r="H14" s="5441" t="s">
        <v>28</v>
      </c>
      <c r="I14" s="5441" t="s">
        <v>809</v>
      </c>
    </row>
    <row customHeight="1" ht="11.25">
      <c r="A15" s="5441" t="s">
        <v>2251</v>
      </c>
      <c r="B15" s="5441" t="s">
        <v>16</v>
      </c>
      <c r="C15" s="5441" t="s">
        <v>2306</v>
      </c>
      <c r="D15" s="5441" t="s">
        <v>2307</v>
      </c>
      <c r="E15" s="5441" t="s">
        <v>2308</v>
      </c>
      <c r="F15" s="5441" t="s">
        <v>51</v>
      </c>
      <c r="G15" s="5441" t="s">
        <v>28</v>
      </c>
      <c r="H15" s="5441" t="s">
        <v>28</v>
      </c>
      <c r="I15" s="5441" t="s">
        <v>809</v>
      </c>
    </row>
    <row customHeight="1" ht="11.25">
      <c r="A16" s="5441" t="s">
        <v>2251</v>
      </c>
      <c r="B16" s="5441" t="s">
        <v>16</v>
      </c>
      <c r="C16" s="5441" t="s">
        <v>2309</v>
      </c>
      <c r="D16" s="5441" t="s">
        <v>2310</v>
      </c>
      <c r="E16" s="5441" t="s">
        <v>2311</v>
      </c>
      <c r="F16" s="5441" t="s">
        <v>2312</v>
      </c>
      <c r="G16" s="5441" t="s">
        <v>28</v>
      </c>
      <c r="H16" s="5441" t="s">
        <v>28</v>
      </c>
      <c r="I16" s="5441" t="s">
        <v>809</v>
      </c>
    </row>
    <row customHeight="1" ht="11.25">
      <c r="A17" s="5441" t="s">
        <v>2251</v>
      </c>
      <c r="B17" s="5441" t="s">
        <v>16</v>
      </c>
      <c r="C17" s="5441" t="s">
        <v>2313</v>
      </c>
      <c r="D17" s="5441" t="s">
        <v>2314</v>
      </c>
      <c r="E17" s="5441" t="s">
        <v>2315</v>
      </c>
      <c r="F17" s="5441" t="s">
        <v>2316</v>
      </c>
      <c r="G17" s="5441" t="s">
        <v>28</v>
      </c>
      <c r="H17" s="5441" t="s">
        <v>28</v>
      </c>
      <c r="I17" s="5441" t="s">
        <v>809</v>
      </c>
    </row>
    <row customHeight="1" ht="11.25">
      <c r="A18" s="5441" t="s">
        <v>2251</v>
      </c>
      <c r="B18" s="5441" t="s">
        <v>16</v>
      </c>
      <c r="C18" s="5441" t="s">
        <v>2317</v>
      </c>
      <c r="D18" s="5441" t="s">
        <v>2318</v>
      </c>
      <c r="E18" s="5441" t="s">
        <v>2319</v>
      </c>
      <c r="F18" s="5441" t="s">
        <v>2312</v>
      </c>
      <c r="G18" s="5441" t="s">
        <v>28</v>
      </c>
      <c r="H18" s="5441" t="s">
        <v>28</v>
      </c>
      <c r="I18" s="5441" t="s">
        <v>809</v>
      </c>
    </row>
    <row customHeight="1" ht="11.25">
      <c r="A19" s="5441" t="s">
        <v>2251</v>
      </c>
      <c r="B19" s="5441" t="s">
        <v>16</v>
      </c>
      <c r="C19" s="5441" t="s">
        <v>2320</v>
      </c>
      <c r="D19" s="5441" t="s">
        <v>2321</v>
      </c>
      <c r="E19" s="5441" t="s">
        <v>2322</v>
      </c>
      <c r="F19" s="5441" t="s">
        <v>2289</v>
      </c>
      <c r="G19" s="5441" t="s">
        <v>2323</v>
      </c>
      <c r="H19" s="5441" t="s">
        <v>28</v>
      </c>
      <c r="I19" s="5441" t="s">
        <v>809</v>
      </c>
    </row>
    <row customHeight="1" ht="11.25">
      <c r="A20" s="5441" t="s">
        <v>2251</v>
      </c>
      <c r="B20" s="5441" t="s">
        <v>16</v>
      </c>
      <c r="C20" s="5441" t="s">
        <v>2324</v>
      </c>
      <c r="D20" s="5441" t="s">
        <v>2325</v>
      </c>
      <c r="E20" s="5441" t="s">
        <v>2326</v>
      </c>
      <c r="F20" s="5441" t="s">
        <v>2281</v>
      </c>
      <c r="G20" s="5441" t="s">
        <v>28</v>
      </c>
      <c r="H20" s="5441" t="s">
        <v>28</v>
      </c>
      <c r="I20" s="5441" t="s">
        <v>809</v>
      </c>
    </row>
    <row customHeight="1" ht="11.25">
      <c r="A21" s="5441" t="s">
        <v>2251</v>
      </c>
      <c r="B21" s="5441" t="s">
        <v>16</v>
      </c>
      <c r="C21" s="5441" t="s">
        <v>2327</v>
      </c>
      <c r="D21" s="5441" t="s">
        <v>2328</v>
      </c>
      <c r="E21" s="5441" t="s">
        <v>2329</v>
      </c>
      <c r="F21" s="5441" t="s">
        <v>2281</v>
      </c>
      <c r="G21" s="5441" t="s">
        <v>28</v>
      </c>
      <c r="H21" s="5441" t="s">
        <v>28</v>
      </c>
      <c r="I21" s="5441" t="s">
        <v>809</v>
      </c>
    </row>
    <row customHeight="1" ht="11.25">
      <c r="A22" s="5441" t="s">
        <v>2251</v>
      </c>
      <c r="B22" s="5441" t="s">
        <v>16</v>
      </c>
      <c r="C22" s="5441" t="s">
        <v>2330</v>
      </c>
      <c r="D22" s="5441" t="s">
        <v>2331</v>
      </c>
      <c r="E22" s="5441" t="s">
        <v>2332</v>
      </c>
      <c r="F22" s="5441" t="s">
        <v>2333</v>
      </c>
      <c r="G22" s="5441" t="s">
        <v>2334</v>
      </c>
      <c r="H22" s="5441" t="s">
        <v>28</v>
      </c>
      <c r="I22" s="5441" t="s">
        <v>809</v>
      </c>
    </row>
    <row customHeight="1" ht="11.25">
      <c r="A23" s="5441" t="s">
        <v>2251</v>
      </c>
      <c r="B23" s="5441" t="s">
        <v>16</v>
      </c>
      <c r="C23" s="5441" t="s">
        <v>2335</v>
      </c>
      <c r="D23" s="5441" t="s">
        <v>2336</v>
      </c>
      <c r="E23" s="5441" t="s">
        <v>2337</v>
      </c>
      <c r="F23" s="5441" t="s">
        <v>2333</v>
      </c>
      <c r="G23" s="5441" t="s">
        <v>28</v>
      </c>
      <c r="H23" s="5441" t="s">
        <v>28</v>
      </c>
      <c r="I23" s="5441" t="s">
        <v>809</v>
      </c>
    </row>
    <row customHeight="1" ht="11.25">
      <c r="A24" s="5441" t="s">
        <v>2251</v>
      </c>
      <c r="B24" s="5441" t="s">
        <v>16</v>
      </c>
      <c r="C24" s="5441" t="s">
        <v>2338</v>
      </c>
      <c r="D24" s="5441" t="s">
        <v>2339</v>
      </c>
      <c r="E24" s="5441" t="s">
        <v>2340</v>
      </c>
      <c r="F24" s="5441" t="s">
        <v>2341</v>
      </c>
      <c r="G24" s="5441" t="s">
        <v>28</v>
      </c>
      <c r="H24" s="5441" t="s">
        <v>28</v>
      </c>
      <c r="I24" s="5441" t="s">
        <v>809</v>
      </c>
    </row>
    <row customHeight="1" ht="11.25">
      <c r="A25" s="5441" t="s">
        <v>2251</v>
      </c>
      <c r="B25" s="5441" t="s">
        <v>16</v>
      </c>
      <c r="C25" s="5441" t="s">
        <v>2342</v>
      </c>
      <c r="D25" s="5441" t="s">
        <v>2343</v>
      </c>
      <c r="E25" s="5441" t="s">
        <v>2344</v>
      </c>
      <c r="F25" s="5441" t="s">
        <v>2269</v>
      </c>
      <c r="G25" s="5441" t="s">
        <v>28</v>
      </c>
      <c r="H25" s="5441" t="s">
        <v>28</v>
      </c>
      <c r="I25" s="5441" t="s">
        <v>809</v>
      </c>
    </row>
    <row customHeight="1" ht="11.25">
      <c r="A26" s="5441" t="s">
        <v>2251</v>
      </c>
      <c r="B26" s="5441" t="s">
        <v>16</v>
      </c>
      <c r="C26" s="5441" t="s">
        <v>2345</v>
      </c>
      <c r="D26" s="5441" t="s">
        <v>2346</v>
      </c>
      <c r="E26" s="5441" t="s">
        <v>2347</v>
      </c>
      <c r="F26" s="5441" t="s">
        <v>51</v>
      </c>
      <c r="G26" s="5441" t="s">
        <v>28</v>
      </c>
      <c r="H26" s="5441" t="s">
        <v>28</v>
      </c>
      <c r="I26" s="5441" t="s">
        <v>809</v>
      </c>
    </row>
    <row customHeight="1" ht="11.25">
      <c r="A27" s="5441" t="s">
        <v>2251</v>
      </c>
      <c r="B27" s="5441" t="s">
        <v>16</v>
      </c>
      <c r="C27" s="5441" t="s">
        <v>2348</v>
      </c>
      <c r="D27" s="5441" t="s">
        <v>2349</v>
      </c>
      <c r="E27" s="5441" t="s">
        <v>2350</v>
      </c>
      <c r="F27" s="5441" t="s">
        <v>2333</v>
      </c>
      <c r="G27" s="5441" t="s">
        <v>28</v>
      </c>
      <c r="H27" s="5441" t="s">
        <v>28</v>
      </c>
      <c r="I27" s="5441" t="s">
        <v>809</v>
      </c>
    </row>
    <row customHeight="1" ht="11.25">
      <c r="A28" s="5441" t="s">
        <v>2251</v>
      </c>
      <c r="B28" s="5441" t="s">
        <v>16</v>
      </c>
      <c r="C28" s="5441" t="s">
        <v>2351</v>
      </c>
      <c r="D28" s="5441" t="s">
        <v>2352</v>
      </c>
      <c r="E28" s="5441" t="s">
        <v>2353</v>
      </c>
      <c r="F28" s="5441" t="s">
        <v>2277</v>
      </c>
      <c r="G28" s="5441" t="s">
        <v>2354</v>
      </c>
      <c r="H28" s="5441" t="s">
        <v>28</v>
      </c>
      <c r="I28" s="5441" t="s">
        <v>809</v>
      </c>
    </row>
    <row customHeight="1" ht="11.25">
      <c r="A29" s="5441" t="s">
        <v>2251</v>
      </c>
      <c r="B29" s="5441" t="s">
        <v>16</v>
      </c>
      <c r="C29" s="5441" t="s">
        <v>2355</v>
      </c>
      <c r="D29" s="5441" t="s">
        <v>2356</v>
      </c>
      <c r="E29" s="5441" t="s">
        <v>2357</v>
      </c>
      <c r="F29" s="5441" t="s">
        <v>2358</v>
      </c>
      <c r="G29" s="5441" t="s">
        <v>28</v>
      </c>
      <c r="H29" s="5441" t="s">
        <v>28</v>
      </c>
      <c r="I29" s="5441" t="s">
        <v>809</v>
      </c>
    </row>
    <row customHeight="1" ht="11.25">
      <c r="A30" s="5441" t="s">
        <v>2251</v>
      </c>
      <c r="B30" s="5441" t="s">
        <v>16</v>
      </c>
      <c r="C30" s="5441" t="s">
        <v>2359</v>
      </c>
      <c r="D30" s="5441" t="s">
        <v>2360</v>
      </c>
      <c r="E30" s="5441" t="s">
        <v>2361</v>
      </c>
      <c r="F30" s="5441" t="s">
        <v>2289</v>
      </c>
      <c r="G30" s="5441" t="s">
        <v>28</v>
      </c>
      <c r="H30" s="5441" t="s">
        <v>28</v>
      </c>
      <c r="I30" s="5441" t="s">
        <v>809</v>
      </c>
    </row>
    <row customHeight="1" ht="11.25">
      <c r="A31" s="5441" t="s">
        <v>2251</v>
      </c>
      <c r="B31" s="5441" t="s">
        <v>16</v>
      </c>
      <c r="C31" s="5441" t="s">
        <v>2362</v>
      </c>
      <c r="D31" s="5441" t="s">
        <v>2363</v>
      </c>
      <c r="E31" s="5441" t="s">
        <v>2364</v>
      </c>
      <c r="F31" s="5441" t="s">
        <v>2365</v>
      </c>
      <c r="G31" s="5441" t="s">
        <v>28</v>
      </c>
      <c r="H31" s="5441" t="s">
        <v>28</v>
      </c>
      <c r="I31" s="5441" t="s">
        <v>809</v>
      </c>
    </row>
    <row customHeight="1" ht="11.25">
      <c r="A32" s="5441" t="s">
        <v>2251</v>
      </c>
      <c r="B32" s="5441" t="s">
        <v>16</v>
      </c>
      <c r="C32" s="5441" t="s">
        <v>2366</v>
      </c>
      <c r="D32" s="5441" t="s">
        <v>2367</v>
      </c>
      <c r="E32" s="5441" t="s">
        <v>2368</v>
      </c>
      <c r="F32" s="5441" t="s">
        <v>2369</v>
      </c>
      <c r="G32" s="5441" t="s">
        <v>28</v>
      </c>
      <c r="H32" s="5441" t="s">
        <v>28</v>
      </c>
      <c r="I32" s="5441" t="s">
        <v>809</v>
      </c>
    </row>
    <row customHeight="1" ht="11.25">
      <c r="A33" s="5441" t="s">
        <v>2251</v>
      </c>
      <c r="B33" s="5441" t="s">
        <v>16</v>
      </c>
      <c r="C33" s="5441" t="s">
        <v>2370</v>
      </c>
      <c r="D33" s="5441" t="s">
        <v>2371</v>
      </c>
      <c r="E33" s="5441" t="s">
        <v>2372</v>
      </c>
      <c r="F33" s="5441" t="s">
        <v>51</v>
      </c>
      <c r="G33" s="5441" t="s">
        <v>28</v>
      </c>
      <c r="H33" s="5441" t="s">
        <v>28</v>
      </c>
      <c r="I33" s="5441" t="s">
        <v>809</v>
      </c>
    </row>
    <row customHeight="1" ht="11.25">
      <c r="A34" s="5441" t="s">
        <v>2251</v>
      </c>
      <c r="B34" s="5441" t="s">
        <v>16</v>
      </c>
      <c r="C34" s="5441" t="s">
        <v>2373</v>
      </c>
      <c r="D34" s="5441" t="s">
        <v>2374</v>
      </c>
      <c r="E34" s="5441" t="s">
        <v>2375</v>
      </c>
      <c r="F34" s="5441" t="s">
        <v>2333</v>
      </c>
      <c r="G34" s="5441" t="s">
        <v>28</v>
      </c>
      <c r="H34" s="5441" t="s">
        <v>28</v>
      </c>
      <c r="I34" s="5441" t="s">
        <v>809</v>
      </c>
    </row>
    <row customHeight="1" ht="11.25">
      <c r="A35" s="5441" t="s">
        <v>2251</v>
      </c>
      <c r="B35" s="5441" t="s">
        <v>16</v>
      </c>
      <c r="C35" s="5441" t="s">
        <v>2376</v>
      </c>
      <c r="D35" s="5441" t="s">
        <v>2377</v>
      </c>
      <c r="E35" s="5441" t="s">
        <v>2378</v>
      </c>
      <c r="F35" s="5441" t="s">
        <v>2379</v>
      </c>
      <c r="G35" s="5441" t="s">
        <v>28</v>
      </c>
      <c r="H35" s="5441" t="s">
        <v>28</v>
      </c>
      <c r="I35" s="5441" t="s">
        <v>809</v>
      </c>
    </row>
    <row customHeight="1" ht="11.25">
      <c r="A36" s="5441" t="s">
        <v>2251</v>
      </c>
      <c r="B36" s="5441" t="s">
        <v>16</v>
      </c>
      <c r="C36" s="5441" t="s">
        <v>28</v>
      </c>
      <c r="D36" s="5441" t="s">
        <v>2380</v>
      </c>
      <c r="E36" s="5441" t="s">
        <v>2381</v>
      </c>
      <c r="F36" s="5441" t="s">
        <v>2312</v>
      </c>
      <c r="G36" s="5441" t="s">
        <v>28</v>
      </c>
      <c r="H36" s="5441" t="s">
        <v>28</v>
      </c>
      <c r="I36" s="5441" t="s">
        <v>809</v>
      </c>
    </row>
    <row customHeight="1" ht="11.25">
      <c r="A37" s="5441" t="s">
        <v>2251</v>
      </c>
      <c r="B37" s="5441" t="s">
        <v>16</v>
      </c>
      <c r="C37" s="5441" t="s">
        <v>2382</v>
      </c>
      <c r="D37" s="5441" t="s">
        <v>2383</v>
      </c>
      <c r="E37" s="5441" t="s">
        <v>2384</v>
      </c>
      <c r="F37" s="5441" t="s">
        <v>2273</v>
      </c>
      <c r="G37" s="5441" t="s">
        <v>28</v>
      </c>
      <c r="H37" s="5441" t="s">
        <v>28</v>
      </c>
      <c r="I37" s="5441" t="s">
        <v>809</v>
      </c>
    </row>
    <row customHeight="1" ht="11.25">
      <c r="A38" s="5441" t="s">
        <v>2251</v>
      </c>
      <c r="B38" s="5441" t="s">
        <v>16</v>
      </c>
      <c r="C38" s="5441" t="s">
        <v>2385</v>
      </c>
      <c r="D38" s="5441" t="s">
        <v>2386</v>
      </c>
      <c r="E38" s="5441" t="s">
        <v>2387</v>
      </c>
      <c r="F38" s="5441" t="s">
        <v>2369</v>
      </c>
      <c r="G38" s="5441" t="s">
        <v>2388</v>
      </c>
      <c r="H38" s="5441" t="s">
        <v>28</v>
      </c>
      <c r="I38" s="5441" t="s">
        <v>809</v>
      </c>
    </row>
    <row customHeight="1" ht="11.25">
      <c r="A39" s="5441" t="s">
        <v>2251</v>
      </c>
      <c r="B39" s="5441" t="s">
        <v>16</v>
      </c>
      <c r="C39" s="5441" t="s">
        <v>2389</v>
      </c>
      <c r="D39" s="5441" t="s">
        <v>2390</v>
      </c>
      <c r="E39" s="5441" t="s">
        <v>2391</v>
      </c>
      <c r="F39" s="5441" t="s">
        <v>2392</v>
      </c>
      <c r="G39" s="5441" t="s">
        <v>28</v>
      </c>
      <c r="H39" s="5441" t="s">
        <v>28</v>
      </c>
      <c r="I39" s="5441" t="s">
        <v>809</v>
      </c>
    </row>
    <row customHeight="1" ht="11.25">
      <c r="A40" s="5441" t="s">
        <v>2251</v>
      </c>
      <c r="B40" s="5441" t="s">
        <v>16</v>
      </c>
      <c r="C40" s="5441" t="s">
        <v>2393</v>
      </c>
      <c r="D40" s="5441" t="s">
        <v>2394</v>
      </c>
      <c r="E40" s="5441" t="s">
        <v>2395</v>
      </c>
      <c r="F40" s="5441" t="s">
        <v>2396</v>
      </c>
      <c r="G40" s="5441" t="s">
        <v>28</v>
      </c>
      <c r="H40" s="5441" t="s">
        <v>28</v>
      </c>
      <c r="I40" s="5441" t="s">
        <v>809</v>
      </c>
    </row>
    <row customHeight="1" ht="11.25">
      <c r="A41" s="5441" t="s">
        <v>2251</v>
      </c>
      <c r="B41" s="5441" t="s">
        <v>16</v>
      </c>
      <c r="C41" s="5441" t="s">
        <v>2397</v>
      </c>
      <c r="D41" s="5441" t="s">
        <v>2398</v>
      </c>
      <c r="E41" s="5441" t="s">
        <v>2399</v>
      </c>
      <c r="F41" s="5441" t="s">
        <v>2379</v>
      </c>
      <c r="G41" s="5441" t="s">
        <v>2400</v>
      </c>
      <c r="H41" s="5441" t="s">
        <v>28</v>
      </c>
      <c r="I41" s="5441" t="s">
        <v>809</v>
      </c>
    </row>
    <row customHeight="1" ht="11.25">
      <c r="A42" s="5441" t="s">
        <v>2251</v>
      </c>
      <c r="B42" s="5441" t="s">
        <v>16</v>
      </c>
      <c r="C42" s="5441" t="s">
        <v>2401</v>
      </c>
      <c r="D42" s="5441" t="s">
        <v>2402</v>
      </c>
      <c r="E42" s="5441" t="s">
        <v>2403</v>
      </c>
      <c r="F42" s="5441" t="s">
        <v>2404</v>
      </c>
      <c r="G42" s="5441" t="s">
        <v>28</v>
      </c>
      <c r="H42" s="5441" t="s">
        <v>28</v>
      </c>
      <c r="I42" s="5441" t="s">
        <v>809</v>
      </c>
    </row>
    <row customHeight="1" ht="11.25">
      <c r="A43" s="5441" t="s">
        <v>2251</v>
      </c>
      <c r="B43" s="5441" t="s">
        <v>16</v>
      </c>
      <c r="C43" s="5441" t="s">
        <v>2405</v>
      </c>
      <c r="D43" s="5441" t="s">
        <v>2406</v>
      </c>
      <c r="E43" s="5441" t="s">
        <v>2407</v>
      </c>
      <c r="F43" s="5441" t="s">
        <v>2408</v>
      </c>
      <c r="G43" s="5441" t="s">
        <v>28</v>
      </c>
      <c r="H43" s="5441" t="s">
        <v>28</v>
      </c>
      <c r="I43" s="5441" t="s">
        <v>809</v>
      </c>
    </row>
    <row customHeight="1" ht="11.25">
      <c r="A44" s="5441" t="s">
        <v>2251</v>
      </c>
      <c r="B44" s="5441" t="s">
        <v>16</v>
      </c>
      <c r="C44" s="5441" t="s">
        <v>2409</v>
      </c>
      <c r="D44" s="5441" t="s">
        <v>2410</v>
      </c>
      <c r="E44" s="5441" t="s">
        <v>2411</v>
      </c>
      <c r="F44" s="5441" t="s">
        <v>2365</v>
      </c>
      <c r="G44" s="5441" t="s">
        <v>28</v>
      </c>
      <c r="H44" s="5441" t="s">
        <v>28</v>
      </c>
      <c r="I44" s="5441" t="s">
        <v>809</v>
      </c>
    </row>
    <row customHeight="1" ht="11.25">
      <c r="A45" s="5441" t="s">
        <v>2251</v>
      </c>
      <c r="B45" s="5441" t="s">
        <v>16</v>
      </c>
      <c r="C45" s="5441" t="s">
        <v>2412</v>
      </c>
      <c r="D45" s="5441" t="s">
        <v>2413</v>
      </c>
      <c r="E45" s="5441" t="s">
        <v>2414</v>
      </c>
      <c r="F45" s="5441" t="s">
        <v>2277</v>
      </c>
      <c r="G45" s="5441" t="s">
        <v>2415</v>
      </c>
      <c r="H45" s="5441" t="s">
        <v>28</v>
      </c>
      <c r="I45" s="5441" t="s">
        <v>809</v>
      </c>
    </row>
    <row customHeight="1" ht="11.25">
      <c r="A46" s="5441" t="s">
        <v>2251</v>
      </c>
      <c r="B46" s="5441" t="s">
        <v>16</v>
      </c>
      <c r="C46" s="5441" t="s">
        <v>2416</v>
      </c>
      <c r="D46" s="5441" t="s">
        <v>2417</v>
      </c>
      <c r="E46" s="5441" t="s">
        <v>2418</v>
      </c>
      <c r="F46" s="5441" t="s">
        <v>2285</v>
      </c>
      <c r="G46" s="5441" t="s">
        <v>28</v>
      </c>
      <c r="H46" s="5441" t="s">
        <v>28</v>
      </c>
      <c r="I46" s="5441" t="s">
        <v>809</v>
      </c>
    </row>
    <row customHeight="1" ht="11.25">
      <c r="A47" s="5441" t="s">
        <v>2251</v>
      </c>
      <c r="B47" s="5441" t="s">
        <v>16</v>
      </c>
      <c r="C47" s="5441" t="s">
        <v>2419</v>
      </c>
      <c r="D47" s="5441" t="s">
        <v>2420</v>
      </c>
      <c r="E47" s="5441" t="s">
        <v>2421</v>
      </c>
      <c r="F47" s="5441" t="s">
        <v>2408</v>
      </c>
      <c r="G47" s="5441" t="s">
        <v>28</v>
      </c>
      <c r="H47" s="5441" t="s">
        <v>28</v>
      </c>
      <c r="I47" s="5441" t="s">
        <v>809</v>
      </c>
    </row>
    <row customHeight="1" ht="11.25">
      <c r="A48" s="5441" t="s">
        <v>2251</v>
      </c>
      <c r="B48" s="5441" t="s">
        <v>16</v>
      </c>
      <c r="C48" s="5441" t="s">
        <v>2422</v>
      </c>
      <c r="D48" s="5441" t="s">
        <v>2423</v>
      </c>
      <c r="E48" s="5441" t="s">
        <v>2424</v>
      </c>
      <c r="F48" s="5441" t="s">
        <v>2285</v>
      </c>
      <c r="G48" s="5441" t="s">
        <v>2425</v>
      </c>
      <c r="H48" s="5441" t="s">
        <v>28</v>
      </c>
      <c r="I48" s="5441" t="s">
        <v>809</v>
      </c>
    </row>
    <row customHeight="1" ht="11.25">
      <c r="A49" s="5441" t="s">
        <v>2251</v>
      </c>
      <c r="B49" s="5441" t="s">
        <v>16</v>
      </c>
      <c r="C49" s="5441" t="s">
        <v>2426</v>
      </c>
      <c r="D49" s="5441" t="s">
        <v>2427</v>
      </c>
      <c r="E49" s="5441" t="s">
        <v>2428</v>
      </c>
      <c r="F49" s="5441" t="s">
        <v>2365</v>
      </c>
      <c r="G49" s="5441" t="s">
        <v>28</v>
      </c>
      <c r="H49" s="5441" t="s">
        <v>28</v>
      </c>
      <c r="I49" s="5441" t="s">
        <v>809</v>
      </c>
    </row>
    <row customHeight="1" ht="11.25">
      <c r="A50" s="5441" t="s">
        <v>2251</v>
      </c>
      <c r="B50" s="5441" t="s">
        <v>16</v>
      </c>
      <c r="C50" s="5441" t="s">
        <v>2429</v>
      </c>
      <c r="D50" s="5441" t="s">
        <v>2430</v>
      </c>
      <c r="E50" s="5441" t="s">
        <v>2431</v>
      </c>
      <c r="F50" s="5441" t="s">
        <v>2408</v>
      </c>
      <c r="G50" s="5441" t="s">
        <v>28</v>
      </c>
      <c r="H50" s="5441" t="s">
        <v>28</v>
      </c>
      <c r="I50" s="5441" t="s">
        <v>809</v>
      </c>
    </row>
    <row customHeight="1" ht="11.25">
      <c r="A51" s="5441" t="s">
        <v>2251</v>
      </c>
      <c r="B51" s="5441" t="s">
        <v>16</v>
      </c>
      <c r="C51" s="5441" t="s">
        <v>2432</v>
      </c>
      <c r="D51" s="5441" t="s">
        <v>2433</v>
      </c>
      <c r="E51" s="5441" t="s">
        <v>2434</v>
      </c>
      <c r="F51" s="5441" t="s">
        <v>51</v>
      </c>
      <c r="G51" s="5441" t="s">
        <v>2435</v>
      </c>
      <c r="H51" s="5441" t="s">
        <v>28</v>
      </c>
      <c r="I51" s="5441" t="s">
        <v>809</v>
      </c>
    </row>
    <row customHeight="1" ht="11.25">
      <c r="A52" s="5441" t="s">
        <v>2251</v>
      </c>
      <c r="B52" s="5441" t="s">
        <v>16</v>
      </c>
      <c r="C52" s="5441" t="s">
        <v>2436</v>
      </c>
      <c r="D52" s="5441" t="s">
        <v>2437</v>
      </c>
      <c r="E52" s="5441" t="s">
        <v>2438</v>
      </c>
      <c r="F52" s="5441" t="s">
        <v>2439</v>
      </c>
      <c r="G52" s="5441" t="s">
        <v>28</v>
      </c>
      <c r="H52" s="5441" t="s">
        <v>28</v>
      </c>
      <c r="I52" s="5441" t="s">
        <v>809</v>
      </c>
    </row>
    <row customHeight="1" ht="11.25">
      <c r="A53" s="5441" t="s">
        <v>2251</v>
      </c>
      <c r="B53" s="5441" t="s">
        <v>16</v>
      </c>
      <c r="C53" s="5441" t="s">
        <v>2440</v>
      </c>
      <c r="D53" s="5441" t="s">
        <v>2441</v>
      </c>
      <c r="E53" s="5441" t="s">
        <v>2442</v>
      </c>
      <c r="F53" s="5441" t="s">
        <v>2365</v>
      </c>
      <c r="G53" s="5441" t="s">
        <v>28</v>
      </c>
      <c r="H53" s="5441" t="s">
        <v>28</v>
      </c>
      <c r="I53" s="5441" t="s">
        <v>809</v>
      </c>
    </row>
    <row customHeight="1" ht="11.25">
      <c r="A54" s="5441" t="s">
        <v>2251</v>
      </c>
      <c r="B54" s="5441" t="s">
        <v>16</v>
      </c>
      <c r="C54" s="5441" t="s">
        <v>2443</v>
      </c>
      <c r="D54" s="5441" t="s">
        <v>2444</v>
      </c>
      <c r="E54" s="5441" t="s">
        <v>2445</v>
      </c>
      <c r="F54" s="5441" t="s">
        <v>2293</v>
      </c>
      <c r="G54" s="5441" t="s">
        <v>28</v>
      </c>
      <c r="H54" s="5441" t="s">
        <v>28</v>
      </c>
      <c r="I54" s="5441" t="s">
        <v>809</v>
      </c>
    </row>
    <row customHeight="1" ht="11.25">
      <c r="A55" s="5441" t="s">
        <v>2251</v>
      </c>
      <c r="B55" s="5441" t="s">
        <v>16</v>
      </c>
      <c r="C55" s="5441" t="s">
        <v>2446</v>
      </c>
      <c r="D55" s="5441" t="s">
        <v>2447</v>
      </c>
      <c r="E55" s="5441" t="s">
        <v>2448</v>
      </c>
      <c r="F55" s="5441" t="s">
        <v>51</v>
      </c>
      <c r="G55" s="5441" t="s">
        <v>28</v>
      </c>
      <c r="H55" s="5441" t="s">
        <v>28</v>
      </c>
      <c r="I55" s="5441" t="s">
        <v>809</v>
      </c>
    </row>
    <row customHeight="1" ht="11.25">
      <c r="A56" s="5441" t="s">
        <v>2251</v>
      </c>
      <c r="B56" s="5441" t="s">
        <v>16</v>
      </c>
      <c r="C56" s="5441" t="s">
        <v>2449</v>
      </c>
      <c r="D56" s="5441" t="s">
        <v>2450</v>
      </c>
      <c r="E56" s="5441" t="s">
        <v>2451</v>
      </c>
      <c r="F56" s="5441" t="s">
        <v>2316</v>
      </c>
      <c r="G56" s="5441" t="s">
        <v>2452</v>
      </c>
      <c r="H56" s="5441" t="s">
        <v>28</v>
      </c>
      <c r="I56" s="5441" t="s">
        <v>809</v>
      </c>
    </row>
    <row customHeight="1" ht="11.25">
      <c r="A57" s="5441" t="s">
        <v>2251</v>
      </c>
      <c r="B57" s="5441" t="s">
        <v>16</v>
      </c>
      <c r="C57" s="5441" t="s">
        <v>2453</v>
      </c>
      <c r="D57" s="5441" t="s">
        <v>2454</v>
      </c>
      <c r="E57" s="5441" t="s">
        <v>2455</v>
      </c>
      <c r="F57" s="5441" t="s">
        <v>2316</v>
      </c>
      <c r="G57" s="5441" t="s">
        <v>28</v>
      </c>
      <c r="H57" s="5441" t="s">
        <v>28</v>
      </c>
      <c r="I57" s="5441" t="s">
        <v>809</v>
      </c>
    </row>
    <row customHeight="1" ht="11.25">
      <c r="A58" s="5441" t="s">
        <v>2251</v>
      </c>
      <c r="B58" s="5441" t="s">
        <v>16</v>
      </c>
      <c r="C58" s="5441" t="s">
        <v>2456</v>
      </c>
      <c r="D58" s="5441" t="s">
        <v>2457</v>
      </c>
      <c r="E58" s="5441" t="s">
        <v>2458</v>
      </c>
      <c r="F58" s="5441" t="s">
        <v>2273</v>
      </c>
      <c r="G58" s="5441" t="s">
        <v>28</v>
      </c>
      <c r="H58" s="5441" t="s">
        <v>28</v>
      </c>
      <c r="I58" s="5441" t="s">
        <v>809</v>
      </c>
    </row>
    <row customHeight="1" ht="11.25">
      <c r="A59" s="5441" t="s">
        <v>2251</v>
      </c>
      <c r="B59" s="5441" t="s">
        <v>16</v>
      </c>
      <c r="C59" s="5441" t="s">
        <v>2459</v>
      </c>
      <c r="D59" s="5441" t="s">
        <v>2460</v>
      </c>
      <c r="E59" s="5441" t="s">
        <v>2461</v>
      </c>
      <c r="F59" s="5441" t="s">
        <v>2369</v>
      </c>
      <c r="G59" s="5441" t="s">
        <v>28</v>
      </c>
      <c r="H59" s="5441" t="s">
        <v>28</v>
      </c>
      <c r="I59" s="5441" t="s">
        <v>809</v>
      </c>
    </row>
    <row customHeight="1" ht="11.25">
      <c r="A60" s="5441" t="s">
        <v>2251</v>
      </c>
      <c r="B60" s="5441" t="s">
        <v>16</v>
      </c>
      <c r="C60" s="5441" t="s">
        <v>2462</v>
      </c>
      <c r="D60" s="5441" t="s">
        <v>2463</v>
      </c>
      <c r="E60" s="5441" t="s">
        <v>2464</v>
      </c>
      <c r="F60" s="5441" t="s">
        <v>2312</v>
      </c>
      <c r="G60" s="5441" t="s">
        <v>28</v>
      </c>
      <c r="H60" s="5441" t="s">
        <v>28</v>
      </c>
      <c r="I60" s="5441" t="s">
        <v>809</v>
      </c>
    </row>
    <row customHeight="1" ht="11.25">
      <c r="A61" s="5441" t="s">
        <v>2251</v>
      </c>
      <c r="B61" s="5441" t="s">
        <v>16</v>
      </c>
      <c r="C61" s="5441" t="s">
        <v>2465</v>
      </c>
      <c r="D61" s="5441" t="s">
        <v>2466</v>
      </c>
      <c r="E61" s="5441" t="s">
        <v>2467</v>
      </c>
      <c r="F61" s="5441" t="s">
        <v>2281</v>
      </c>
      <c r="G61" s="5441" t="s">
        <v>28</v>
      </c>
      <c r="H61" s="5441" t="s">
        <v>28</v>
      </c>
      <c r="I61" s="5441" t="s">
        <v>809</v>
      </c>
    </row>
    <row customHeight="1" ht="11.25">
      <c r="A62" s="5441" t="s">
        <v>2251</v>
      </c>
      <c r="B62" s="5441" t="s">
        <v>16</v>
      </c>
      <c r="C62" s="5441" t="s">
        <v>2468</v>
      </c>
      <c r="D62" s="5441" t="s">
        <v>2469</v>
      </c>
      <c r="E62" s="5441" t="s">
        <v>2470</v>
      </c>
      <c r="F62" s="5441" t="s">
        <v>2277</v>
      </c>
      <c r="G62" s="5441" t="s">
        <v>28</v>
      </c>
      <c r="H62" s="5441" t="s">
        <v>28</v>
      </c>
      <c r="I62" s="5441" t="s">
        <v>809</v>
      </c>
    </row>
    <row customHeight="1" ht="11.25">
      <c r="A63" s="5441" t="s">
        <v>2251</v>
      </c>
      <c r="B63" s="5441" t="s">
        <v>16</v>
      </c>
      <c r="C63" s="5441" t="s">
        <v>2471</v>
      </c>
      <c r="D63" s="5441" t="s">
        <v>2472</v>
      </c>
      <c r="E63" s="5441" t="s">
        <v>2473</v>
      </c>
      <c r="F63" s="5441" t="s">
        <v>51</v>
      </c>
      <c r="G63" s="5441" t="s">
        <v>28</v>
      </c>
      <c r="H63" s="5441" t="s">
        <v>28</v>
      </c>
      <c r="I63" s="5441" t="s">
        <v>809</v>
      </c>
    </row>
    <row customHeight="1" ht="11.25">
      <c r="A64" s="5441" t="s">
        <v>2251</v>
      </c>
      <c r="B64" s="5441" t="s">
        <v>16</v>
      </c>
      <c r="C64" s="5441" t="s">
        <v>2474</v>
      </c>
      <c r="D64" s="5441" t="s">
        <v>2475</v>
      </c>
      <c r="E64" s="5441" t="s">
        <v>2476</v>
      </c>
      <c r="F64" s="5441" t="s">
        <v>2369</v>
      </c>
      <c r="G64" s="5441" t="s">
        <v>28</v>
      </c>
      <c r="H64" s="5441" t="s">
        <v>28</v>
      </c>
      <c r="I64" s="5441" t="s">
        <v>809</v>
      </c>
    </row>
    <row customHeight="1" ht="11.25">
      <c r="A65" s="5441" t="s">
        <v>2251</v>
      </c>
      <c r="B65" s="5441" t="s">
        <v>16</v>
      </c>
      <c r="C65" s="5441" t="s">
        <v>2477</v>
      </c>
      <c r="D65" s="5441" t="s">
        <v>2478</v>
      </c>
      <c r="E65" s="5441" t="s">
        <v>2479</v>
      </c>
      <c r="F65" s="5441" t="s">
        <v>2281</v>
      </c>
      <c r="G65" s="5441" t="s">
        <v>28</v>
      </c>
      <c r="H65" s="5441" t="s">
        <v>28</v>
      </c>
      <c r="I65" s="5441" t="s">
        <v>809</v>
      </c>
    </row>
    <row customHeight="1" ht="11.25">
      <c r="A66" s="5441" t="s">
        <v>2251</v>
      </c>
      <c r="B66" s="5441" t="s">
        <v>16</v>
      </c>
      <c r="C66" s="5441" t="s">
        <v>2480</v>
      </c>
      <c r="D66" s="5441" t="s">
        <v>2481</v>
      </c>
      <c r="E66" s="5441" t="s">
        <v>2482</v>
      </c>
      <c r="F66" s="5441" t="s">
        <v>2304</v>
      </c>
      <c r="G66" s="5441" t="s">
        <v>28</v>
      </c>
      <c r="H66" s="5441" t="s">
        <v>28</v>
      </c>
      <c r="I66" s="5441" t="s">
        <v>809</v>
      </c>
    </row>
    <row customHeight="1" ht="11.25">
      <c r="A67" s="5441" t="s">
        <v>2251</v>
      </c>
      <c r="B67" s="5441" t="s">
        <v>16</v>
      </c>
      <c r="C67" s="5441" t="s">
        <v>2483</v>
      </c>
      <c r="D67" s="5441" t="s">
        <v>2484</v>
      </c>
      <c r="E67" s="5441" t="s">
        <v>2485</v>
      </c>
      <c r="F67" s="5441" t="s">
        <v>2312</v>
      </c>
      <c r="G67" s="5441" t="s">
        <v>28</v>
      </c>
      <c r="H67" s="5441" t="s">
        <v>28</v>
      </c>
      <c r="I67" s="5441" t="s">
        <v>809</v>
      </c>
    </row>
    <row customHeight="1" ht="11.25">
      <c r="A68" s="5441" t="s">
        <v>2251</v>
      </c>
      <c r="B68" s="5441" t="s">
        <v>16</v>
      </c>
      <c r="C68" s="5441" t="s">
        <v>2486</v>
      </c>
      <c r="D68" s="5441" t="s">
        <v>2487</v>
      </c>
      <c r="E68" s="5441" t="s">
        <v>2488</v>
      </c>
      <c r="F68" s="5441" t="s">
        <v>2489</v>
      </c>
      <c r="G68" s="5441" t="s">
        <v>2490</v>
      </c>
      <c r="H68" s="5441" t="s">
        <v>28</v>
      </c>
      <c r="I68" s="5441" t="s">
        <v>809</v>
      </c>
    </row>
    <row customHeight="1" ht="11.25">
      <c r="A69" s="5441" t="s">
        <v>2251</v>
      </c>
      <c r="B69" s="5441" t="s">
        <v>16</v>
      </c>
      <c r="C69" s="5441" t="s">
        <v>2491</v>
      </c>
      <c r="D69" s="5441" t="s">
        <v>2492</v>
      </c>
      <c r="E69" s="5441" t="s">
        <v>2493</v>
      </c>
      <c r="F69" s="5441" t="s">
        <v>2494</v>
      </c>
      <c r="G69" s="5441" t="s">
        <v>2495</v>
      </c>
      <c r="H69" s="5441" t="s">
        <v>28</v>
      </c>
      <c r="I69" s="5441" t="s">
        <v>809</v>
      </c>
    </row>
    <row customHeight="1" ht="11.25">
      <c r="A70" s="5441" t="s">
        <v>2251</v>
      </c>
      <c r="B70" s="5441" t="s">
        <v>16</v>
      </c>
      <c r="C70" s="5441" t="s">
        <v>2496</v>
      </c>
      <c r="D70" s="5441" t="s">
        <v>2497</v>
      </c>
      <c r="E70" s="5441" t="s">
        <v>2498</v>
      </c>
      <c r="F70" s="5441" t="s">
        <v>2489</v>
      </c>
      <c r="G70" s="5441" t="s">
        <v>2499</v>
      </c>
      <c r="H70" s="5441" t="s">
        <v>28</v>
      </c>
      <c r="I70" s="5441" t="s">
        <v>809</v>
      </c>
    </row>
    <row customHeight="1" ht="11.25">
      <c r="A71" s="5441" t="s">
        <v>2251</v>
      </c>
      <c r="B71" s="5441" t="s">
        <v>16</v>
      </c>
      <c r="C71" s="5441" t="s">
        <v>2500</v>
      </c>
      <c r="D71" s="5441" t="s">
        <v>2501</v>
      </c>
      <c r="E71" s="5441" t="s">
        <v>2502</v>
      </c>
      <c r="F71" s="5441" t="s">
        <v>2503</v>
      </c>
      <c r="G71" s="5441" t="s">
        <v>2504</v>
      </c>
      <c r="H71" s="5441" t="s">
        <v>28</v>
      </c>
      <c r="I71" s="5441" t="s">
        <v>809</v>
      </c>
    </row>
    <row customHeight="1" ht="11.25">
      <c r="A72" s="5441" t="s">
        <v>2251</v>
      </c>
      <c r="B72" s="5441" t="s">
        <v>16</v>
      </c>
      <c r="C72" s="5441" t="s">
        <v>2505</v>
      </c>
      <c r="D72" s="5441" t="s">
        <v>2506</v>
      </c>
      <c r="E72" s="5441" t="s">
        <v>2507</v>
      </c>
      <c r="F72" s="5441" t="s">
        <v>2333</v>
      </c>
      <c r="G72" s="5441" t="s">
        <v>2508</v>
      </c>
      <c r="H72" s="5441" t="s">
        <v>28</v>
      </c>
      <c r="I72" s="5441" t="s">
        <v>809</v>
      </c>
    </row>
    <row customHeight="1" ht="11.25">
      <c r="A73" s="5441" t="s">
        <v>2251</v>
      </c>
      <c r="B73" s="5441" t="s">
        <v>16</v>
      </c>
      <c r="C73" s="5441" t="s">
        <v>2509</v>
      </c>
      <c r="D73" s="5441" t="s">
        <v>2510</v>
      </c>
      <c r="E73" s="5441" t="s">
        <v>2511</v>
      </c>
      <c r="F73" s="5441" t="s">
        <v>2312</v>
      </c>
      <c r="G73" s="5441" t="s">
        <v>2512</v>
      </c>
      <c r="H73" s="5441" t="s">
        <v>28</v>
      </c>
      <c r="I73" s="5441" t="s">
        <v>809</v>
      </c>
    </row>
    <row customHeight="1" ht="11.25">
      <c r="A74" s="5441" t="s">
        <v>2251</v>
      </c>
      <c r="B74" s="5441" t="s">
        <v>16</v>
      </c>
      <c r="C74" s="5441" t="s">
        <v>2513</v>
      </c>
      <c r="D74" s="5441" t="s">
        <v>2514</v>
      </c>
      <c r="E74" s="5441" t="s">
        <v>2515</v>
      </c>
      <c r="F74" s="5441" t="s">
        <v>2369</v>
      </c>
      <c r="G74" s="5441" t="s">
        <v>2516</v>
      </c>
      <c r="H74" s="5441" t="s">
        <v>28</v>
      </c>
      <c r="I74" s="5441" t="s">
        <v>809</v>
      </c>
    </row>
    <row customHeight="1" ht="11.25">
      <c r="A75" s="5441" t="s">
        <v>2251</v>
      </c>
      <c r="B75" s="5441" t="s">
        <v>16</v>
      </c>
      <c r="C75" s="5441" t="s">
        <v>2517</v>
      </c>
      <c r="D75" s="5441" t="s">
        <v>2518</v>
      </c>
      <c r="E75" s="5441" t="s">
        <v>2519</v>
      </c>
      <c r="F75" s="5441" t="s">
        <v>2281</v>
      </c>
      <c r="G75" s="5441" t="s">
        <v>2520</v>
      </c>
      <c r="H75" s="5441" t="s">
        <v>28</v>
      </c>
      <c r="I75" s="5441" t="s">
        <v>809</v>
      </c>
    </row>
    <row customHeight="1" ht="11.25">
      <c r="A76" s="5441" t="s">
        <v>2251</v>
      </c>
      <c r="B76" s="5441" t="s">
        <v>16</v>
      </c>
      <c r="C76" s="5441" t="s">
        <v>2521</v>
      </c>
      <c r="D76" s="5441" t="s">
        <v>2522</v>
      </c>
      <c r="E76" s="5441" t="s">
        <v>2523</v>
      </c>
      <c r="F76" s="5441" t="s">
        <v>2312</v>
      </c>
      <c r="G76" s="5441" t="s">
        <v>2524</v>
      </c>
      <c r="H76" s="5441" t="s">
        <v>28</v>
      </c>
      <c r="I76" s="5441" t="s">
        <v>809</v>
      </c>
    </row>
    <row customHeight="1" ht="11.25">
      <c r="A77" s="5441" t="s">
        <v>2251</v>
      </c>
      <c r="B77" s="5441" t="s">
        <v>16</v>
      </c>
      <c r="C77" s="5441" t="s">
        <v>2525</v>
      </c>
      <c r="D77" s="5441" t="s">
        <v>2526</v>
      </c>
      <c r="E77" s="5441" t="s">
        <v>2527</v>
      </c>
      <c r="F77" s="5441" t="s">
        <v>2277</v>
      </c>
      <c r="G77" s="5441" t="s">
        <v>2528</v>
      </c>
      <c r="H77" s="5441" t="s">
        <v>28</v>
      </c>
      <c r="I77" s="5441" t="s">
        <v>809</v>
      </c>
    </row>
    <row customHeight="1" ht="11.25">
      <c r="A78" s="5441" t="s">
        <v>2251</v>
      </c>
      <c r="B78" s="5441" t="s">
        <v>16</v>
      </c>
      <c r="C78" s="5441" t="s">
        <v>2529</v>
      </c>
      <c r="D78" s="5441" t="s">
        <v>2530</v>
      </c>
      <c r="E78" s="5441" t="s">
        <v>2531</v>
      </c>
      <c r="F78" s="5441" t="s">
        <v>51</v>
      </c>
      <c r="G78" s="5441" t="s">
        <v>2532</v>
      </c>
      <c r="H78" s="5441" t="s">
        <v>28</v>
      </c>
      <c r="I78" s="5441" t="s">
        <v>809</v>
      </c>
    </row>
    <row customHeight="1" ht="11.25">
      <c r="A79" s="5441" t="s">
        <v>2251</v>
      </c>
      <c r="B79" s="5441" t="s">
        <v>16</v>
      </c>
      <c r="C79" s="5441" t="s">
        <v>2533</v>
      </c>
      <c r="D79" s="5441" t="s">
        <v>2534</v>
      </c>
      <c r="E79" s="5441" t="s">
        <v>2535</v>
      </c>
      <c r="F79" s="5441" t="s">
        <v>2369</v>
      </c>
      <c r="G79" s="5441" t="s">
        <v>28</v>
      </c>
      <c r="H79" s="5441" t="s">
        <v>28</v>
      </c>
      <c r="I79" s="5441" t="s">
        <v>809</v>
      </c>
    </row>
    <row customHeight="1" ht="11.25">
      <c r="A80" s="5441" t="s">
        <v>2251</v>
      </c>
      <c r="B80" s="5441" t="s">
        <v>16</v>
      </c>
      <c r="C80" s="5441" t="s">
        <v>2536</v>
      </c>
      <c r="D80" s="5441" t="s">
        <v>2537</v>
      </c>
      <c r="E80" s="5441" t="s">
        <v>2538</v>
      </c>
      <c r="F80" s="5441" t="s">
        <v>2285</v>
      </c>
      <c r="G80" s="5441" t="s">
        <v>28</v>
      </c>
      <c r="H80" s="5441" t="s">
        <v>28</v>
      </c>
      <c r="I80" s="5441" t="s">
        <v>809</v>
      </c>
    </row>
    <row customHeight="1" ht="11.25">
      <c r="A81" s="5441" t="s">
        <v>2251</v>
      </c>
      <c r="B81" s="5441" t="s">
        <v>16</v>
      </c>
      <c r="C81" s="5441" t="s">
        <v>2539</v>
      </c>
      <c r="D81" s="5441" t="s">
        <v>2540</v>
      </c>
      <c r="E81" s="5441" t="s">
        <v>2541</v>
      </c>
      <c r="F81" s="5441" t="s">
        <v>51</v>
      </c>
      <c r="G81" s="5441" t="s">
        <v>28</v>
      </c>
      <c r="H81" s="5441" t="s">
        <v>28</v>
      </c>
      <c r="I81" s="5441" t="s">
        <v>809</v>
      </c>
    </row>
    <row customHeight="1" ht="11.25">
      <c r="A82" s="5441" t="s">
        <v>2251</v>
      </c>
      <c r="B82" s="5441" t="s">
        <v>16</v>
      </c>
      <c r="C82" s="5441" t="s">
        <v>2542</v>
      </c>
      <c r="D82" s="5441" t="s">
        <v>2543</v>
      </c>
      <c r="E82" s="5441" t="s">
        <v>2544</v>
      </c>
      <c r="F82" s="5441" t="s">
        <v>2545</v>
      </c>
      <c r="G82" s="5441" t="s">
        <v>2546</v>
      </c>
      <c r="H82" s="5441" t="s">
        <v>28</v>
      </c>
      <c r="I82" s="5441" t="s">
        <v>809</v>
      </c>
    </row>
    <row customHeight="1" ht="11.25">
      <c r="A83" s="5441" t="s">
        <v>2251</v>
      </c>
      <c r="B83" s="5441" t="s">
        <v>16</v>
      </c>
      <c r="C83" s="5441" t="s">
        <v>2547</v>
      </c>
      <c r="D83" s="5441" t="s">
        <v>2548</v>
      </c>
      <c r="E83" s="5441" t="s">
        <v>2549</v>
      </c>
      <c r="F83" s="5441" t="s">
        <v>2369</v>
      </c>
      <c r="G83" s="5441" t="s">
        <v>2550</v>
      </c>
      <c r="H83" s="5441" t="s">
        <v>28</v>
      </c>
      <c r="I83" s="5441" t="s">
        <v>809</v>
      </c>
    </row>
    <row customHeight="1" ht="11.25">
      <c r="A84" s="5441" t="s">
        <v>2251</v>
      </c>
      <c r="B84" s="5441" t="s">
        <v>16</v>
      </c>
      <c r="C84" s="5441" t="s">
        <v>2551</v>
      </c>
      <c r="D84" s="5441" t="s">
        <v>2552</v>
      </c>
      <c r="E84" s="5441" t="s">
        <v>2553</v>
      </c>
      <c r="F84" s="5441" t="s">
        <v>2312</v>
      </c>
      <c r="G84" s="5441" t="s">
        <v>28</v>
      </c>
      <c r="H84" s="5441" t="s">
        <v>28</v>
      </c>
      <c r="I84" s="5441" t="s">
        <v>809</v>
      </c>
    </row>
    <row customHeight="1" ht="11.25">
      <c r="A85" s="5441" t="s">
        <v>2251</v>
      </c>
      <c r="B85" s="5441" t="s">
        <v>16</v>
      </c>
      <c r="C85" s="5441" t="s">
        <v>2554</v>
      </c>
      <c r="D85" s="5441" t="s">
        <v>2555</v>
      </c>
      <c r="E85" s="5441" t="s">
        <v>2556</v>
      </c>
      <c r="F85" s="5441" t="s">
        <v>2557</v>
      </c>
      <c r="G85" s="5441" t="s">
        <v>28</v>
      </c>
      <c r="H85" s="5441" t="s">
        <v>28</v>
      </c>
      <c r="I85" s="5441" t="s">
        <v>809</v>
      </c>
    </row>
    <row customHeight="1" ht="11.25">
      <c r="A86" s="5441" t="s">
        <v>2251</v>
      </c>
      <c r="B86" s="5441" t="s">
        <v>16</v>
      </c>
      <c r="C86" s="5441" t="s">
        <v>2558</v>
      </c>
      <c r="D86" s="5441" t="s">
        <v>2559</v>
      </c>
      <c r="E86" s="5441" t="s">
        <v>2560</v>
      </c>
      <c r="F86" s="5441" t="s">
        <v>2561</v>
      </c>
      <c r="G86" s="5441" t="s">
        <v>28</v>
      </c>
      <c r="H86" s="5441" t="s">
        <v>28</v>
      </c>
      <c r="I86" s="5441" t="s">
        <v>809</v>
      </c>
    </row>
    <row customHeight="1" ht="11.25">
      <c r="A87" s="5441" t="s">
        <v>2251</v>
      </c>
      <c r="B87" s="5441" t="s">
        <v>16</v>
      </c>
      <c r="C87" s="5441" t="s">
        <v>2562</v>
      </c>
      <c r="D87" s="5441" t="s">
        <v>2563</v>
      </c>
      <c r="E87" s="5441" t="s">
        <v>2564</v>
      </c>
      <c r="F87" s="5441" t="s">
        <v>2277</v>
      </c>
      <c r="G87" s="5441" t="s">
        <v>2565</v>
      </c>
      <c r="H87" s="5441" t="s">
        <v>28</v>
      </c>
      <c r="I87" s="5441" t="s">
        <v>809</v>
      </c>
    </row>
    <row customHeight="1" ht="11.25">
      <c r="A88" s="5441" t="s">
        <v>2251</v>
      </c>
      <c r="B88" s="5441" t="s">
        <v>16</v>
      </c>
      <c r="C88" s="5441" t="s">
        <v>13</v>
      </c>
      <c r="D88" s="5441" t="s">
        <v>46</v>
      </c>
      <c r="E88" s="5441" t="s">
        <v>49</v>
      </c>
      <c r="F88" s="5441" t="s">
        <v>51</v>
      </c>
      <c r="G88" s="5441" t="s">
        <v>2566</v>
      </c>
      <c r="H88" s="5441" t="s">
        <v>28</v>
      </c>
      <c r="I88" s="5441" t="s">
        <v>809</v>
      </c>
    </row>
    <row customHeight="1" ht="11.25">
      <c r="A89" s="5441" t="s">
        <v>2251</v>
      </c>
      <c r="B89" s="5441" t="s">
        <v>16</v>
      </c>
      <c r="C89" s="5441" t="s">
        <v>2567</v>
      </c>
      <c r="D89" s="5441" t="s">
        <v>2568</v>
      </c>
      <c r="E89" s="5441" t="s">
        <v>2569</v>
      </c>
      <c r="F89" s="5441" t="s">
        <v>2570</v>
      </c>
      <c r="G89" s="5441" t="s">
        <v>28</v>
      </c>
      <c r="H89" s="5441" t="s">
        <v>28</v>
      </c>
      <c r="I89" s="5441" t="s">
        <v>809</v>
      </c>
    </row>
    <row customHeight="1" ht="11.25">
      <c r="A90" s="5441" t="s">
        <v>2251</v>
      </c>
      <c r="B90" s="5441" t="s">
        <v>16</v>
      </c>
      <c r="C90" s="5441" t="s">
        <v>2571</v>
      </c>
      <c r="D90" s="5441" t="s">
        <v>2572</v>
      </c>
      <c r="E90" s="5441" t="s">
        <v>2573</v>
      </c>
      <c r="F90" s="5441" t="s">
        <v>2369</v>
      </c>
      <c r="G90" s="5441" t="s">
        <v>2574</v>
      </c>
      <c r="H90" s="5441" t="s">
        <v>28</v>
      </c>
      <c r="I90" s="5441" t="s">
        <v>809</v>
      </c>
    </row>
    <row customHeight="1" ht="11.25">
      <c r="A91" s="5441" t="s">
        <v>2251</v>
      </c>
      <c r="B91" s="5441" t="s">
        <v>16</v>
      </c>
      <c r="C91" s="5441" t="s">
        <v>2575</v>
      </c>
      <c r="D91" s="5441" t="s">
        <v>2576</v>
      </c>
      <c r="E91" s="5441" t="s">
        <v>2577</v>
      </c>
      <c r="F91" s="5441" t="s">
        <v>2312</v>
      </c>
      <c r="G91" s="5441" t="s">
        <v>2578</v>
      </c>
      <c r="H91" s="5441" t="s">
        <v>28</v>
      </c>
      <c r="I91" s="5441" t="s">
        <v>809</v>
      </c>
    </row>
    <row customHeight="1" ht="11.25">
      <c r="A92" s="5441" t="s">
        <v>2251</v>
      </c>
      <c r="B92" s="5441" t="s">
        <v>16</v>
      </c>
      <c r="C92" s="5441" t="s">
        <v>2579</v>
      </c>
      <c r="D92" s="5441" t="s">
        <v>2580</v>
      </c>
      <c r="E92" s="5441" t="s">
        <v>2581</v>
      </c>
      <c r="F92" s="5441" t="s">
        <v>51</v>
      </c>
      <c r="G92" s="5441" t="s">
        <v>28</v>
      </c>
      <c r="H92" s="5441" t="s">
        <v>28</v>
      </c>
      <c r="I92" s="5441" t="s">
        <v>809</v>
      </c>
    </row>
    <row customHeight="1" ht="11.25">
      <c r="A93" s="5441" t="s">
        <v>2251</v>
      </c>
      <c r="B93" s="5441" t="s">
        <v>16</v>
      </c>
      <c r="C93" s="5441" t="s">
        <v>2582</v>
      </c>
      <c r="D93" s="5441" t="s">
        <v>2583</v>
      </c>
      <c r="E93" s="5441" t="s">
        <v>2584</v>
      </c>
      <c r="F93" s="5441" t="s">
        <v>2365</v>
      </c>
      <c r="G93" s="5441" t="s">
        <v>28</v>
      </c>
      <c r="H93" s="5441" t="s">
        <v>28</v>
      </c>
      <c r="I93" s="5441" t="s">
        <v>809</v>
      </c>
    </row>
    <row customHeight="1" ht="11.25">
      <c r="A94" s="5441" t="s">
        <v>2251</v>
      </c>
      <c r="B94" s="5441" t="s">
        <v>16</v>
      </c>
      <c r="C94" s="5441" t="s">
        <v>2585</v>
      </c>
      <c r="D94" s="5441" t="s">
        <v>2586</v>
      </c>
      <c r="E94" s="5441" t="s">
        <v>2587</v>
      </c>
      <c r="F94" s="5441" t="s">
        <v>2312</v>
      </c>
      <c r="G94" s="5441" t="s">
        <v>2588</v>
      </c>
      <c r="H94" s="5441" t="s">
        <v>28</v>
      </c>
      <c r="I94" s="5441" t="s">
        <v>809</v>
      </c>
    </row>
    <row customHeight="1" ht="11.25">
      <c r="A95" s="5441" t="s">
        <v>2251</v>
      </c>
      <c r="B95" s="5441" t="s">
        <v>16</v>
      </c>
      <c r="C95" s="5441" t="s">
        <v>2589</v>
      </c>
      <c r="D95" s="5441" t="s">
        <v>2590</v>
      </c>
      <c r="E95" s="5441" t="s">
        <v>2591</v>
      </c>
      <c r="F95" s="5441" t="s">
        <v>2289</v>
      </c>
      <c r="G95" s="5441" t="s">
        <v>28</v>
      </c>
      <c r="H95" s="5441" t="s">
        <v>28</v>
      </c>
      <c r="I95" s="5441" t="s">
        <v>809</v>
      </c>
    </row>
    <row customHeight="1" ht="11.25">
      <c r="A96" s="5441" t="s">
        <v>2251</v>
      </c>
      <c r="B96" s="5441" t="s">
        <v>16</v>
      </c>
      <c r="C96" s="5441" t="s">
        <v>2592</v>
      </c>
      <c r="D96" s="5441" t="s">
        <v>2593</v>
      </c>
      <c r="E96" s="5441" t="s">
        <v>2594</v>
      </c>
      <c r="F96" s="5441" t="s">
        <v>2369</v>
      </c>
      <c r="G96" s="5441" t="s">
        <v>2595</v>
      </c>
      <c r="H96" s="5441" t="s">
        <v>28</v>
      </c>
      <c r="I96" s="5441" t="s">
        <v>809</v>
      </c>
    </row>
    <row customHeight="1" ht="11.25">
      <c r="A97" s="5441" t="s">
        <v>2251</v>
      </c>
      <c r="B97" s="5441" t="s">
        <v>16</v>
      </c>
      <c r="C97" s="5441" t="s">
        <v>2596</v>
      </c>
      <c r="D97" s="5441" t="s">
        <v>2597</v>
      </c>
      <c r="E97" s="5441" t="s">
        <v>2598</v>
      </c>
      <c r="F97" s="5441" t="s">
        <v>2408</v>
      </c>
      <c r="G97" s="5441" t="s">
        <v>2599</v>
      </c>
      <c r="H97" s="5441" t="s">
        <v>28</v>
      </c>
      <c r="I97" s="5441" t="s">
        <v>809</v>
      </c>
    </row>
    <row customHeight="1" ht="11.25">
      <c r="A98" s="5441" t="s">
        <v>2251</v>
      </c>
      <c r="B98" s="5441" t="s">
        <v>16</v>
      </c>
      <c r="C98" s="5441" t="s">
        <v>2600</v>
      </c>
      <c r="D98" s="5441" t="s">
        <v>2601</v>
      </c>
      <c r="E98" s="5441" t="s">
        <v>2602</v>
      </c>
      <c r="F98" s="5441" t="s">
        <v>2369</v>
      </c>
      <c r="G98" s="5441" t="s">
        <v>2603</v>
      </c>
      <c r="H98" s="5441" t="s">
        <v>28</v>
      </c>
      <c r="I98" s="5441" t="s">
        <v>809</v>
      </c>
    </row>
    <row customHeight="1" ht="11.25">
      <c r="A99" s="5441" t="s">
        <v>2251</v>
      </c>
      <c r="B99" s="5441" t="s">
        <v>16</v>
      </c>
      <c r="C99" s="5441" t="s">
        <v>2604</v>
      </c>
      <c r="D99" s="5441" t="s">
        <v>2605</v>
      </c>
      <c r="E99" s="5441" t="s">
        <v>2606</v>
      </c>
      <c r="F99" s="5441" t="s">
        <v>2369</v>
      </c>
      <c r="G99" s="5441" t="s">
        <v>2607</v>
      </c>
      <c r="H99" s="5441" t="s">
        <v>28</v>
      </c>
      <c r="I99" s="5441" t="s">
        <v>809</v>
      </c>
    </row>
    <row customHeight="1" ht="11.25">
      <c r="A100" s="5441" t="s">
        <v>2251</v>
      </c>
      <c r="B100" s="5441" t="s">
        <v>16</v>
      </c>
      <c r="C100" s="5441" t="s">
        <v>2608</v>
      </c>
      <c r="D100" s="5441" t="s">
        <v>2609</v>
      </c>
      <c r="E100" s="5441" t="s">
        <v>2610</v>
      </c>
      <c r="F100" s="5441" t="s">
        <v>2312</v>
      </c>
      <c r="G100" s="5441" t="s">
        <v>28</v>
      </c>
      <c r="H100" s="5441" t="s">
        <v>28</v>
      </c>
      <c r="I100" s="5441" t="s">
        <v>809</v>
      </c>
    </row>
    <row customHeight="1" ht="11.25">
      <c r="A101" s="5441" t="s">
        <v>2251</v>
      </c>
      <c r="B101" s="5441" t="s">
        <v>16</v>
      </c>
      <c r="C101" s="5441" t="s">
        <v>2611</v>
      </c>
      <c r="D101" s="5441" t="s">
        <v>2612</v>
      </c>
      <c r="E101" s="5441" t="s">
        <v>2613</v>
      </c>
      <c r="F101" s="5441" t="s">
        <v>2614</v>
      </c>
      <c r="G101" s="5441" t="s">
        <v>28</v>
      </c>
      <c r="H101" s="5441" t="s">
        <v>28</v>
      </c>
      <c r="I101" s="5441" t="s">
        <v>809</v>
      </c>
    </row>
    <row customHeight="1" ht="11.25">
      <c r="A102" s="5441" t="s">
        <v>2251</v>
      </c>
      <c r="B102" s="5441" t="s">
        <v>16</v>
      </c>
      <c r="C102" s="5441" t="s">
        <v>2615</v>
      </c>
      <c r="D102" s="5441" t="s">
        <v>2616</v>
      </c>
      <c r="E102" s="5441" t="s">
        <v>2617</v>
      </c>
      <c r="F102" s="5441" t="s">
        <v>2312</v>
      </c>
      <c r="G102" s="5441" t="s">
        <v>2618</v>
      </c>
      <c r="H102" s="5441" t="s">
        <v>28</v>
      </c>
      <c r="I102" s="5441" t="s">
        <v>809</v>
      </c>
    </row>
    <row customHeight="1" ht="11.25">
      <c r="A103" s="5441" t="s">
        <v>2251</v>
      </c>
      <c r="B103" s="5441" t="s">
        <v>16</v>
      </c>
      <c r="C103" s="5441" t="s">
        <v>2619</v>
      </c>
      <c r="D103" s="5441" t="s">
        <v>2620</v>
      </c>
      <c r="E103" s="5441" t="s">
        <v>2621</v>
      </c>
      <c r="F103" s="5441" t="s">
        <v>2312</v>
      </c>
      <c r="G103" s="5441" t="s">
        <v>28</v>
      </c>
      <c r="H103" s="5441" t="s">
        <v>28</v>
      </c>
      <c r="I103" s="5441" t="s">
        <v>809</v>
      </c>
    </row>
    <row customHeight="1" ht="11.25">
      <c r="A104" s="5441" t="s">
        <v>2251</v>
      </c>
      <c r="B104" s="5441" t="s">
        <v>16</v>
      </c>
      <c r="C104" s="5441" t="s">
        <v>2622</v>
      </c>
      <c r="D104" s="5441" t="s">
        <v>2623</v>
      </c>
      <c r="E104" s="5441" t="s">
        <v>2624</v>
      </c>
      <c r="F104" s="5441" t="s">
        <v>2312</v>
      </c>
      <c r="G104" s="5441" t="s">
        <v>28</v>
      </c>
      <c r="H104" s="5441" t="s">
        <v>28</v>
      </c>
      <c r="I104" s="5441" t="s">
        <v>809</v>
      </c>
    </row>
    <row customHeight="1" ht="11.25">
      <c r="A105" s="5441" t="s">
        <v>2251</v>
      </c>
      <c r="B105" s="5441" t="s">
        <v>16</v>
      </c>
      <c r="C105" s="5441" t="s">
        <v>2625</v>
      </c>
      <c r="D105" s="5441" t="s">
        <v>2626</v>
      </c>
      <c r="E105" s="5441" t="s">
        <v>2627</v>
      </c>
      <c r="F105" s="5441" t="s">
        <v>2628</v>
      </c>
      <c r="G105" s="5441" t="s">
        <v>2629</v>
      </c>
      <c r="H105" s="5441" t="s">
        <v>28</v>
      </c>
      <c r="I105" s="5441" t="s">
        <v>809</v>
      </c>
    </row>
    <row customHeight="1" ht="11.25">
      <c r="A106" s="5441" t="s">
        <v>2251</v>
      </c>
      <c r="B106" s="5441" t="s">
        <v>16</v>
      </c>
      <c r="C106" s="5441" t="s">
        <v>2630</v>
      </c>
      <c r="D106" s="5441" t="s">
        <v>2631</v>
      </c>
      <c r="E106" s="5441" t="s">
        <v>2632</v>
      </c>
      <c r="F106" s="5441" t="s">
        <v>2316</v>
      </c>
      <c r="G106" s="5441" t="s">
        <v>28</v>
      </c>
      <c r="H106" s="5441" t="s">
        <v>28</v>
      </c>
      <c r="I106" s="5441" t="s">
        <v>809</v>
      </c>
    </row>
    <row customHeight="1" ht="11.25">
      <c r="A107" s="5441" t="s">
        <v>2251</v>
      </c>
      <c r="B107" s="5441" t="s">
        <v>16</v>
      </c>
      <c r="C107" s="5441" t="s">
        <v>2633</v>
      </c>
      <c r="D107" s="5441" t="s">
        <v>2634</v>
      </c>
      <c r="E107" s="5441" t="s">
        <v>2635</v>
      </c>
      <c r="F107" s="5441" t="s">
        <v>2408</v>
      </c>
      <c r="G107" s="5441" t="s">
        <v>2636</v>
      </c>
      <c r="H107" s="5441" t="s">
        <v>28</v>
      </c>
      <c r="I107" s="5441" t="s">
        <v>809</v>
      </c>
    </row>
    <row customHeight="1" ht="11.25">
      <c r="A108" s="5441" t="s">
        <v>2251</v>
      </c>
      <c r="B108" s="5441" t="s">
        <v>16</v>
      </c>
      <c r="C108" s="5441" t="s">
        <v>2637</v>
      </c>
      <c r="D108" s="5441" t="s">
        <v>2638</v>
      </c>
      <c r="E108" s="5441" t="s">
        <v>2639</v>
      </c>
      <c r="F108" s="5441" t="s">
        <v>2408</v>
      </c>
      <c r="G108" s="5441" t="s">
        <v>2640</v>
      </c>
      <c r="H108" s="5441" t="s">
        <v>28</v>
      </c>
      <c r="I108" s="5441" t="s">
        <v>809</v>
      </c>
    </row>
    <row customHeight="1" ht="11.25">
      <c r="A109" s="5441" t="s">
        <v>2251</v>
      </c>
      <c r="B109" s="5441" t="s">
        <v>16</v>
      </c>
      <c r="C109" s="5441" t="s">
        <v>2641</v>
      </c>
      <c r="D109" s="5441" t="s">
        <v>2642</v>
      </c>
      <c r="E109" s="5441" t="s">
        <v>2643</v>
      </c>
      <c r="F109" s="5441" t="s">
        <v>2408</v>
      </c>
      <c r="G109" s="5441" t="s">
        <v>28</v>
      </c>
      <c r="H109" s="5441" t="s">
        <v>28</v>
      </c>
      <c r="I109" s="5441" t="s">
        <v>809</v>
      </c>
    </row>
    <row customHeight="1" ht="11.25">
      <c r="A110" s="5441" t="s">
        <v>2251</v>
      </c>
      <c r="B110" s="5441" t="s">
        <v>16</v>
      </c>
      <c r="C110" s="5441" t="s">
        <v>2644</v>
      </c>
      <c r="D110" s="5441" t="s">
        <v>2645</v>
      </c>
      <c r="E110" s="5441" t="s">
        <v>2646</v>
      </c>
      <c r="F110" s="5441" t="s">
        <v>2333</v>
      </c>
      <c r="G110" s="5441" t="s">
        <v>2647</v>
      </c>
      <c r="H110" s="5441" t="s">
        <v>28</v>
      </c>
      <c r="I110" s="5441" t="s">
        <v>809</v>
      </c>
    </row>
    <row customHeight="1" ht="11.25">
      <c r="A111" s="5441" t="s">
        <v>2251</v>
      </c>
      <c r="B111" s="5441" t="s">
        <v>16</v>
      </c>
      <c r="C111" s="5441" t="s">
        <v>2648</v>
      </c>
      <c r="D111" s="5441" t="s">
        <v>2649</v>
      </c>
      <c r="E111" s="5441" t="s">
        <v>2650</v>
      </c>
      <c r="F111" s="5441" t="s">
        <v>51</v>
      </c>
      <c r="G111" s="5441" t="s">
        <v>28</v>
      </c>
      <c r="H111" s="5441" t="s">
        <v>28</v>
      </c>
      <c r="I111" s="5441" t="s">
        <v>809</v>
      </c>
    </row>
    <row customHeight="1" ht="11.25">
      <c r="A112" s="5441" t="s">
        <v>2251</v>
      </c>
      <c r="B112" s="5441" t="s">
        <v>16</v>
      </c>
      <c r="C112" s="5441" t="s">
        <v>2651</v>
      </c>
      <c r="D112" s="5441" t="s">
        <v>2652</v>
      </c>
      <c r="E112" s="5441" t="s">
        <v>2653</v>
      </c>
      <c r="F112" s="5441" t="s">
        <v>2312</v>
      </c>
      <c r="G112" s="5441" t="s">
        <v>2654</v>
      </c>
      <c r="H112" s="5441" t="s">
        <v>28</v>
      </c>
      <c r="I112" s="5441" t="s">
        <v>809</v>
      </c>
    </row>
    <row customHeight="1" ht="11.25">
      <c r="A113" s="5441" t="s">
        <v>2251</v>
      </c>
      <c r="B113" s="5441" t="s">
        <v>16</v>
      </c>
      <c r="C113" s="5441" t="s">
        <v>2655</v>
      </c>
      <c r="D113" s="5441" t="s">
        <v>2656</v>
      </c>
      <c r="E113" s="5441" t="s">
        <v>2657</v>
      </c>
      <c r="F113" s="5441" t="s">
        <v>2658</v>
      </c>
      <c r="G113" s="5441" t="s">
        <v>2659</v>
      </c>
      <c r="H113" s="5441" t="s">
        <v>28</v>
      </c>
      <c r="I113" s="5441" t="s">
        <v>809</v>
      </c>
    </row>
    <row customHeight="1" ht="11.25">
      <c r="A114" s="5441" t="s">
        <v>2251</v>
      </c>
      <c r="B114" s="5441" t="s">
        <v>16</v>
      </c>
      <c r="C114" s="5441" t="s">
        <v>2660</v>
      </c>
      <c r="D114" s="5441" t="s">
        <v>2661</v>
      </c>
      <c r="E114" s="5441" t="s">
        <v>2662</v>
      </c>
      <c r="F114" s="5441" t="s">
        <v>2304</v>
      </c>
      <c r="G114" s="5441" t="s">
        <v>28</v>
      </c>
      <c r="H114" s="5441" t="s">
        <v>28</v>
      </c>
      <c r="I114" s="5441" t="s">
        <v>809</v>
      </c>
    </row>
    <row customHeight="1" ht="11.25">
      <c r="A115" s="5441" t="s">
        <v>2251</v>
      </c>
      <c r="B115" s="5441" t="s">
        <v>16</v>
      </c>
      <c r="C115" s="5441" t="s">
        <v>2663</v>
      </c>
      <c r="D115" s="5441" t="s">
        <v>2664</v>
      </c>
      <c r="E115" s="5441" t="s">
        <v>2665</v>
      </c>
      <c r="F115" s="5441" t="s">
        <v>2408</v>
      </c>
      <c r="G115" s="5441" t="s">
        <v>28</v>
      </c>
      <c r="H115" s="5441" t="s">
        <v>28</v>
      </c>
      <c r="I115" s="5441" t="s">
        <v>809</v>
      </c>
    </row>
    <row customHeight="1" ht="11.25">
      <c r="A116" s="5441" t="s">
        <v>2251</v>
      </c>
      <c r="B116" s="5441" t="s">
        <v>16</v>
      </c>
      <c r="C116" s="5441" t="s">
        <v>2666</v>
      </c>
      <c r="D116" s="5441" t="s">
        <v>2667</v>
      </c>
      <c r="E116" s="5441" t="s">
        <v>2668</v>
      </c>
      <c r="F116" s="5441" t="s">
        <v>2333</v>
      </c>
      <c r="G116" s="5441" t="s">
        <v>28</v>
      </c>
      <c r="H116" s="5441" t="s">
        <v>28</v>
      </c>
      <c r="I116" s="5441" t="s">
        <v>809</v>
      </c>
    </row>
    <row customHeight="1" ht="11.25">
      <c r="A117" s="5441" t="s">
        <v>2251</v>
      </c>
      <c r="B117" s="5441" t="s">
        <v>16</v>
      </c>
      <c r="C117" s="5441" t="s">
        <v>2669</v>
      </c>
      <c r="D117" s="5441" t="s">
        <v>2670</v>
      </c>
      <c r="E117" s="5441" t="s">
        <v>2671</v>
      </c>
      <c r="F117" s="5441" t="s">
        <v>2289</v>
      </c>
      <c r="G117" s="5441" t="s">
        <v>28</v>
      </c>
      <c r="H117" s="5441" t="s">
        <v>28</v>
      </c>
      <c r="I117" s="5441" t="s">
        <v>809</v>
      </c>
    </row>
    <row customHeight="1" ht="11.25">
      <c r="A118" s="5441" t="s">
        <v>2251</v>
      </c>
      <c r="B118" s="5441" t="s">
        <v>16</v>
      </c>
      <c r="C118" s="5441" t="s">
        <v>2672</v>
      </c>
      <c r="D118" s="5441" t="s">
        <v>2670</v>
      </c>
      <c r="E118" s="5441" t="s">
        <v>2671</v>
      </c>
      <c r="F118" s="5441" t="s">
        <v>2369</v>
      </c>
      <c r="G118" s="5441" t="s">
        <v>2673</v>
      </c>
      <c r="H118" s="5441" t="s">
        <v>28</v>
      </c>
      <c r="I118" s="5441" t="s">
        <v>809</v>
      </c>
    </row>
    <row customHeight="1" ht="11.25">
      <c r="A119" s="5441" t="s">
        <v>2251</v>
      </c>
      <c r="B119" s="5441" t="s">
        <v>16</v>
      </c>
      <c r="C119" s="5441" t="s">
        <v>2674</v>
      </c>
      <c r="D119" s="5441" t="s">
        <v>2675</v>
      </c>
      <c r="E119" s="5441" t="s">
        <v>2676</v>
      </c>
      <c r="F119" s="5441" t="s">
        <v>2489</v>
      </c>
      <c r="G119" s="5441" t="s">
        <v>2677</v>
      </c>
      <c r="H119" s="5441" t="s">
        <v>28</v>
      </c>
      <c r="I119" s="5441" t="s">
        <v>809</v>
      </c>
    </row>
    <row customHeight="1" ht="11.25">
      <c r="A120" s="5441" t="s">
        <v>2251</v>
      </c>
      <c r="B120" s="5441" t="s">
        <v>16</v>
      </c>
      <c r="C120" s="5441" t="s">
        <v>2678</v>
      </c>
      <c r="D120" s="5441" t="s">
        <v>2679</v>
      </c>
      <c r="E120" s="5441" t="s">
        <v>2680</v>
      </c>
      <c r="F120" s="5441" t="s">
        <v>2277</v>
      </c>
      <c r="G120" s="5441" t="s">
        <v>28</v>
      </c>
      <c r="H120" s="5441" t="s">
        <v>28</v>
      </c>
      <c r="I120" s="5441" t="s">
        <v>809</v>
      </c>
    </row>
    <row customHeight="1" ht="11.25">
      <c r="A121" s="5441" t="s">
        <v>2251</v>
      </c>
      <c r="B121" s="5441" t="s">
        <v>16</v>
      </c>
      <c r="C121" s="5441" t="s">
        <v>2681</v>
      </c>
      <c r="D121" s="5441" t="s">
        <v>2682</v>
      </c>
      <c r="E121" s="5441" t="s">
        <v>2683</v>
      </c>
      <c r="F121" s="5441" t="s">
        <v>51</v>
      </c>
      <c r="G121" s="5441" t="s">
        <v>28</v>
      </c>
      <c r="H121" s="5441" t="s">
        <v>28</v>
      </c>
      <c r="I121" s="5441" t="s">
        <v>809</v>
      </c>
    </row>
    <row customHeight="1" ht="11.25">
      <c r="A122" s="5441" t="s">
        <v>2251</v>
      </c>
      <c r="B122" s="5441" t="s">
        <v>16</v>
      </c>
      <c r="C122" s="5441" t="s">
        <v>2684</v>
      </c>
      <c r="D122" s="5441" t="s">
        <v>2685</v>
      </c>
      <c r="E122" s="5441" t="s">
        <v>2686</v>
      </c>
      <c r="F122" s="5441" t="s">
        <v>2277</v>
      </c>
      <c r="G122" s="5441" t="s">
        <v>28</v>
      </c>
      <c r="H122" s="5441" t="s">
        <v>28</v>
      </c>
      <c r="I122" s="5441" t="s">
        <v>809</v>
      </c>
    </row>
    <row customHeight="1" ht="11.25">
      <c r="A123" s="5441" t="s">
        <v>2251</v>
      </c>
      <c r="B123" s="5441" t="s">
        <v>16</v>
      </c>
      <c r="C123" s="5441" t="s">
        <v>2687</v>
      </c>
      <c r="D123" s="5441" t="s">
        <v>2688</v>
      </c>
      <c r="E123" s="5441" t="s">
        <v>2689</v>
      </c>
      <c r="F123" s="5441" t="s">
        <v>2281</v>
      </c>
      <c r="G123" s="5441" t="s">
        <v>28</v>
      </c>
      <c r="H123" s="5441" t="s">
        <v>28</v>
      </c>
      <c r="I123" s="5441" t="s">
        <v>809</v>
      </c>
    </row>
    <row customHeight="1" ht="11.25">
      <c r="A124" s="5441" t="s">
        <v>2251</v>
      </c>
      <c r="B124" s="5441" t="s">
        <v>16</v>
      </c>
      <c r="C124" s="5441" t="s">
        <v>2690</v>
      </c>
      <c r="D124" s="5441" t="s">
        <v>2688</v>
      </c>
      <c r="E124" s="5441" t="s">
        <v>2689</v>
      </c>
      <c r="F124" s="5441" t="s">
        <v>2691</v>
      </c>
      <c r="G124" s="5441" t="s">
        <v>28</v>
      </c>
      <c r="H124" s="5441" t="s">
        <v>28</v>
      </c>
      <c r="I124" s="5441" t="s">
        <v>809</v>
      </c>
    </row>
    <row customHeight="1" ht="11.25">
      <c r="A125" s="5441" t="s">
        <v>2251</v>
      </c>
      <c r="B125" s="5441" t="s">
        <v>16</v>
      </c>
      <c r="C125" s="5441" t="s">
        <v>2692</v>
      </c>
      <c r="D125" s="5441" t="s">
        <v>2693</v>
      </c>
      <c r="E125" s="5441" t="s">
        <v>2694</v>
      </c>
      <c r="F125" s="5441" t="s">
        <v>2281</v>
      </c>
      <c r="G125" s="5441" t="s">
        <v>2695</v>
      </c>
      <c r="H125" s="5441" t="s">
        <v>28</v>
      </c>
      <c r="I125" s="5441" t="s">
        <v>809</v>
      </c>
    </row>
    <row customHeight="1" ht="11.25">
      <c r="A126" s="5441" t="s">
        <v>2251</v>
      </c>
      <c r="B126" s="5441" t="s">
        <v>16</v>
      </c>
      <c r="C126" s="5441" t="s">
        <v>2696</v>
      </c>
      <c r="D126" s="5441" t="s">
        <v>2697</v>
      </c>
      <c r="E126" s="5441" t="s">
        <v>2698</v>
      </c>
      <c r="F126" s="5441" t="s">
        <v>2699</v>
      </c>
      <c r="G126" s="5441" t="s">
        <v>28</v>
      </c>
      <c r="H126" s="5441" t="s">
        <v>28</v>
      </c>
      <c r="I126" s="5441" t="s">
        <v>809</v>
      </c>
    </row>
    <row customHeight="1" ht="11.25">
      <c r="A127" s="5441" t="s">
        <v>2251</v>
      </c>
      <c r="B127" s="5441" t="s">
        <v>16</v>
      </c>
      <c r="C127" s="5441" t="s">
        <v>2700</v>
      </c>
      <c r="D127" s="5441" t="s">
        <v>2701</v>
      </c>
      <c r="E127" s="5441" t="s">
        <v>2702</v>
      </c>
      <c r="F127" s="5441" t="s">
        <v>2312</v>
      </c>
      <c r="G127" s="5441" t="s">
        <v>28</v>
      </c>
      <c r="H127" s="5441" t="s">
        <v>28</v>
      </c>
      <c r="I127" s="5441" t="s">
        <v>809</v>
      </c>
    </row>
    <row customHeight="1" ht="11.25">
      <c r="A128" s="5441" t="s">
        <v>2251</v>
      </c>
      <c r="B128" s="5441" t="s">
        <v>16</v>
      </c>
      <c r="C128" s="5441" t="s">
        <v>2703</v>
      </c>
      <c r="D128" s="5441" t="s">
        <v>2704</v>
      </c>
      <c r="E128" s="5441" t="s">
        <v>2705</v>
      </c>
      <c r="F128" s="5441" t="s">
        <v>2706</v>
      </c>
      <c r="G128" s="5441" t="s">
        <v>28</v>
      </c>
      <c r="H128" s="5441" t="s">
        <v>28</v>
      </c>
      <c r="I128" s="5441" t="s">
        <v>809</v>
      </c>
    </row>
    <row customHeight="1" ht="11.25">
      <c r="A129" s="5441" t="s">
        <v>2251</v>
      </c>
      <c r="B129" s="5441" t="s">
        <v>16</v>
      </c>
      <c r="C129" s="5441" t="s">
        <v>2707</v>
      </c>
      <c r="D129" s="5441" t="s">
        <v>2708</v>
      </c>
      <c r="E129" s="5441" t="s">
        <v>2709</v>
      </c>
      <c r="F129" s="5441" t="s">
        <v>2710</v>
      </c>
      <c r="G129" s="5441" t="s">
        <v>28</v>
      </c>
      <c r="H129" s="5441" t="s">
        <v>28</v>
      </c>
      <c r="I129" s="5441" t="s">
        <v>809</v>
      </c>
    </row>
    <row customHeight="1" ht="11.25">
      <c r="A130" s="5441" t="s">
        <v>2251</v>
      </c>
      <c r="B130" s="5441" t="s">
        <v>16</v>
      </c>
      <c r="C130" s="5441" t="s">
        <v>2711</v>
      </c>
      <c r="D130" s="5441" t="s">
        <v>2712</v>
      </c>
      <c r="E130" s="5441" t="s">
        <v>2709</v>
      </c>
      <c r="F130" s="5441" t="s">
        <v>2713</v>
      </c>
      <c r="G130" s="5441" t="s">
        <v>28</v>
      </c>
      <c r="H130" s="5441" t="s">
        <v>28</v>
      </c>
      <c r="I130" s="5441" t="s">
        <v>809</v>
      </c>
    </row>
    <row customHeight="1" ht="11.25">
      <c r="A131" s="5441" t="s">
        <v>2251</v>
      </c>
      <c r="B131" s="5441" t="s">
        <v>16</v>
      </c>
      <c r="C131" s="5441" t="s">
        <v>2714</v>
      </c>
      <c r="D131" s="5441" t="s">
        <v>2715</v>
      </c>
      <c r="E131" s="5441" t="s">
        <v>2716</v>
      </c>
      <c r="F131" s="5441" t="s">
        <v>51</v>
      </c>
      <c r="G131" s="5441" t="s">
        <v>28</v>
      </c>
      <c r="H131" s="5441" t="s">
        <v>28</v>
      </c>
      <c r="I131" s="5441" t="s">
        <v>809</v>
      </c>
    </row>
    <row customHeight="1" ht="11.25">
      <c r="A132" s="5441" t="s">
        <v>2251</v>
      </c>
      <c r="B132" s="5441" t="s">
        <v>16</v>
      </c>
      <c r="C132" s="5441" t="s">
        <v>2717</v>
      </c>
      <c r="D132" s="5441" t="s">
        <v>2718</v>
      </c>
      <c r="E132" s="5441" t="s">
        <v>2719</v>
      </c>
      <c r="F132" s="5441" t="s">
        <v>2312</v>
      </c>
      <c r="G132" s="5441" t="s">
        <v>28</v>
      </c>
      <c r="H132" s="5441" t="s">
        <v>28</v>
      </c>
      <c r="I132" s="5441" t="s">
        <v>809</v>
      </c>
    </row>
    <row customHeight="1" ht="11.25">
      <c r="A133" s="5441" t="s">
        <v>2251</v>
      </c>
      <c r="B133" s="5441" t="s">
        <v>16</v>
      </c>
      <c r="C133" s="5441" t="s">
        <v>2720</v>
      </c>
      <c r="D133" s="5441" t="s">
        <v>2721</v>
      </c>
      <c r="E133" s="5441" t="s">
        <v>2722</v>
      </c>
      <c r="F133" s="5441" t="s">
        <v>2259</v>
      </c>
      <c r="G133" s="5441" t="s">
        <v>2723</v>
      </c>
      <c r="H133" s="5441" t="s">
        <v>28</v>
      </c>
      <c r="I133" s="5441" t="s">
        <v>809</v>
      </c>
    </row>
    <row customHeight="1" ht="11.25">
      <c r="A134" s="5441" t="s">
        <v>2251</v>
      </c>
      <c r="B134" s="5441" t="s">
        <v>16</v>
      </c>
      <c r="C134" s="5441" t="s">
        <v>2724</v>
      </c>
      <c r="D134" s="5441" t="s">
        <v>2725</v>
      </c>
      <c r="E134" s="5441" t="s">
        <v>2698</v>
      </c>
      <c r="F134" s="5441" t="s">
        <v>2726</v>
      </c>
      <c r="G134" s="5441" t="s">
        <v>2727</v>
      </c>
      <c r="H134" s="5441" t="s">
        <v>28</v>
      </c>
      <c r="I134" s="5441" t="s">
        <v>809</v>
      </c>
    </row>
    <row customHeight="1" ht="11.25">
      <c r="A135" s="5441" t="s">
        <v>2251</v>
      </c>
      <c r="B135" s="5441" t="s">
        <v>16</v>
      </c>
      <c r="C135" s="5441" t="s">
        <v>2728</v>
      </c>
      <c r="D135" s="5441" t="s">
        <v>2729</v>
      </c>
      <c r="E135" s="5441" t="s">
        <v>2730</v>
      </c>
      <c r="F135" s="5441" t="s">
        <v>2731</v>
      </c>
      <c r="G135" s="5441" t="s">
        <v>28</v>
      </c>
      <c r="H135" s="5441" t="s">
        <v>28</v>
      </c>
      <c r="I135" s="5441" t="s">
        <v>809</v>
      </c>
    </row>
    <row customHeight="1" ht="11.25">
      <c r="A136" s="5441" t="s">
        <v>2251</v>
      </c>
      <c r="B136" s="5441" t="s">
        <v>16</v>
      </c>
      <c r="C136" s="5441" t="s">
        <v>2732</v>
      </c>
      <c r="D136" s="5441" t="s">
        <v>2733</v>
      </c>
      <c r="E136" s="5441" t="s">
        <v>2734</v>
      </c>
      <c r="F136" s="5441" t="s">
        <v>2735</v>
      </c>
      <c r="G136" s="5441" t="s">
        <v>28</v>
      </c>
      <c r="H136" s="5441" t="s">
        <v>28</v>
      </c>
      <c r="I136" s="5441" t="s">
        <v>809</v>
      </c>
    </row>
    <row customHeight="1" ht="11.25">
      <c r="A137" s="5441" t="s">
        <v>2251</v>
      </c>
      <c r="B137" s="5441" t="s">
        <v>16</v>
      </c>
      <c r="C137" s="5441" t="s">
        <v>2736</v>
      </c>
      <c r="D137" s="5441" t="s">
        <v>2737</v>
      </c>
      <c r="E137" s="5441" t="s">
        <v>2738</v>
      </c>
      <c r="F137" s="5441" t="s">
        <v>2312</v>
      </c>
      <c r="G137" s="5441" t="s">
        <v>28</v>
      </c>
      <c r="H137" s="5441" t="s">
        <v>28</v>
      </c>
      <c r="I137" s="5441" t="s">
        <v>809</v>
      </c>
    </row>
    <row customHeight="1" ht="11.25">
      <c r="A138" s="5441" t="s">
        <v>2251</v>
      </c>
      <c r="B138" s="5441" t="s">
        <v>16</v>
      </c>
      <c r="C138" s="5441" t="s">
        <v>2739</v>
      </c>
      <c r="D138" s="5441" t="s">
        <v>2740</v>
      </c>
      <c r="E138" s="5441" t="s">
        <v>2705</v>
      </c>
      <c r="F138" s="5441" t="s">
        <v>2741</v>
      </c>
      <c r="G138" s="5441" t="s">
        <v>28</v>
      </c>
      <c r="H138" s="5441" t="s">
        <v>28</v>
      </c>
      <c r="I138" s="5441" t="s">
        <v>809</v>
      </c>
    </row>
    <row customHeight="1" ht="11.25">
      <c r="A139" s="5441" t="s">
        <v>2251</v>
      </c>
      <c r="B139" s="5441" t="s">
        <v>16</v>
      </c>
      <c r="C139" s="5441" t="s">
        <v>2742</v>
      </c>
      <c r="D139" s="5441" t="s">
        <v>2743</v>
      </c>
      <c r="E139" s="5441" t="s">
        <v>2705</v>
      </c>
      <c r="F139" s="5441" t="s">
        <v>2744</v>
      </c>
      <c r="G139" s="5441" t="s">
        <v>28</v>
      </c>
      <c r="H139" s="5441" t="s">
        <v>28</v>
      </c>
      <c r="I139" s="5441" t="s">
        <v>809</v>
      </c>
    </row>
    <row customHeight="1" ht="11.25">
      <c r="A140" s="5441" t="s">
        <v>2251</v>
      </c>
      <c r="B140" s="5441" t="s">
        <v>16</v>
      </c>
      <c r="C140" s="5441" t="s">
        <v>2252</v>
      </c>
      <c r="D140" s="5441" t="s">
        <v>2253</v>
      </c>
      <c r="E140" s="5441" t="s">
        <v>2254</v>
      </c>
      <c r="F140" s="5441" t="s">
        <v>2255</v>
      </c>
      <c r="G140" s="5441" t="s">
        <v>28</v>
      </c>
      <c r="H140" s="5441" t="s">
        <v>28</v>
      </c>
      <c r="I140" s="5441" t="s">
        <v>895</v>
      </c>
    </row>
    <row customHeight="1" ht="11.25">
      <c r="A141" s="5441" t="s">
        <v>2251</v>
      </c>
      <c r="B141" s="5441" t="s">
        <v>16</v>
      </c>
      <c r="C141" s="5441" t="s">
        <v>2256</v>
      </c>
      <c r="D141" s="5441" t="s">
        <v>2257</v>
      </c>
      <c r="E141" s="5441" t="s">
        <v>2258</v>
      </c>
      <c r="F141" s="5441" t="s">
        <v>2259</v>
      </c>
      <c r="G141" s="5441" t="s">
        <v>2260</v>
      </c>
      <c r="H141" s="5441" t="s">
        <v>28</v>
      </c>
      <c r="I141" s="5441" t="s">
        <v>895</v>
      </c>
    </row>
    <row customHeight="1" ht="11.25">
      <c r="A142" s="5441" t="s">
        <v>2251</v>
      </c>
      <c r="B142" s="5441" t="s">
        <v>16</v>
      </c>
      <c r="C142" s="5441" t="s">
        <v>2261</v>
      </c>
      <c r="D142" s="5441" t="s">
        <v>2262</v>
      </c>
      <c r="E142" s="5441" t="s">
        <v>2263</v>
      </c>
      <c r="F142" s="5441" t="s">
        <v>2264</v>
      </c>
      <c r="G142" s="5441" t="s">
        <v>2265</v>
      </c>
      <c r="H142" s="5441" t="s">
        <v>28</v>
      </c>
      <c r="I142" s="5441" t="s">
        <v>895</v>
      </c>
    </row>
    <row customHeight="1" ht="11.25">
      <c r="A143" s="5441" t="s">
        <v>2251</v>
      </c>
      <c r="B143" s="5441" t="s">
        <v>16</v>
      </c>
      <c r="C143" s="5441" t="s">
        <v>2270</v>
      </c>
      <c r="D143" s="5441" t="s">
        <v>2271</v>
      </c>
      <c r="E143" s="5441" t="s">
        <v>2272</v>
      </c>
      <c r="F143" s="5441" t="s">
        <v>2273</v>
      </c>
      <c r="G143" s="5441" t="s">
        <v>28</v>
      </c>
      <c r="H143" s="5441" t="s">
        <v>28</v>
      </c>
      <c r="I143" s="5441" t="s">
        <v>895</v>
      </c>
    </row>
    <row customHeight="1" ht="11.25">
      <c r="A144" s="5441" t="s">
        <v>2251</v>
      </c>
      <c r="B144" s="5441" t="s">
        <v>16</v>
      </c>
      <c r="C144" s="5441" t="s">
        <v>2278</v>
      </c>
      <c r="D144" s="5441" t="s">
        <v>2279</v>
      </c>
      <c r="E144" s="5441" t="s">
        <v>2280</v>
      </c>
      <c r="F144" s="5441" t="s">
        <v>2281</v>
      </c>
      <c r="G144" s="5441" t="s">
        <v>28</v>
      </c>
      <c r="H144" s="5441" t="s">
        <v>28</v>
      </c>
      <c r="I144" s="5441" t="s">
        <v>895</v>
      </c>
    </row>
    <row customHeight="1" ht="11.25">
      <c r="A145" s="5441" t="s">
        <v>2251</v>
      </c>
      <c r="B145" s="5441" t="s">
        <v>16</v>
      </c>
      <c r="C145" s="5441" t="s">
        <v>2282</v>
      </c>
      <c r="D145" s="5441" t="s">
        <v>2283</v>
      </c>
      <c r="E145" s="5441" t="s">
        <v>2284</v>
      </c>
      <c r="F145" s="5441" t="s">
        <v>2285</v>
      </c>
      <c r="G145" s="5441" t="s">
        <v>28</v>
      </c>
      <c r="H145" s="5441" t="s">
        <v>28</v>
      </c>
      <c r="I145" s="5441" t="s">
        <v>895</v>
      </c>
    </row>
    <row customHeight="1" ht="11.25">
      <c r="A146" s="5441" t="s">
        <v>2251</v>
      </c>
      <c r="B146" s="5441" t="s">
        <v>16</v>
      </c>
      <c r="C146" s="5441" t="s">
        <v>2286</v>
      </c>
      <c r="D146" s="5441" t="s">
        <v>2287</v>
      </c>
      <c r="E146" s="5441" t="s">
        <v>2288</v>
      </c>
      <c r="F146" s="5441" t="s">
        <v>2289</v>
      </c>
      <c r="G146" s="5441" t="s">
        <v>28</v>
      </c>
      <c r="H146" s="5441" t="s">
        <v>28</v>
      </c>
      <c r="I146" s="5441" t="s">
        <v>895</v>
      </c>
    </row>
    <row customHeight="1" ht="11.25">
      <c r="A147" s="5441" t="s">
        <v>2251</v>
      </c>
      <c r="B147" s="5441" t="s">
        <v>16</v>
      </c>
      <c r="C147" s="5441" t="s">
        <v>2294</v>
      </c>
      <c r="D147" s="5441" t="s">
        <v>2295</v>
      </c>
      <c r="E147" s="5441" t="s">
        <v>2296</v>
      </c>
      <c r="F147" s="5441" t="s">
        <v>2297</v>
      </c>
      <c r="G147" s="5441" t="s">
        <v>28</v>
      </c>
      <c r="H147" s="5441" t="s">
        <v>28</v>
      </c>
      <c r="I147" s="5441" t="s">
        <v>895</v>
      </c>
    </row>
    <row customHeight="1" ht="11.25">
      <c r="A148" s="5441" t="s">
        <v>2251</v>
      </c>
      <c r="B148" s="5441" t="s">
        <v>16</v>
      </c>
      <c r="C148" s="5441" t="s">
        <v>2298</v>
      </c>
      <c r="D148" s="5441" t="s">
        <v>2299</v>
      </c>
      <c r="E148" s="5441" t="s">
        <v>2300</v>
      </c>
      <c r="F148" s="5441" t="s">
        <v>2269</v>
      </c>
      <c r="G148" s="5441" t="s">
        <v>28</v>
      </c>
      <c r="H148" s="5441" t="s">
        <v>28</v>
      </c>
      <c r="I148" s="5441" t="s">
        <v>895</v>
      </c>
    </row>
    <row customHeight="1" ht="11.25">
      <c r="A149" s="5441" t="s">
        <v>2251</v>
      </c>
      <c r="B149" s="5441" t="s">
        <v>16</v>
      </c>
      <c r="C149" s="5441" t="s">
        <v>2306</v>
      </c>
      <c r="D149" s="5441" t="s">
        <v>2307</v>
      </c>
      <c r="E149" s="5441" t="s">
        <v>2308</v>
      </c>
      <c r="F149" s="5441" t="s">
        <v>51</v>
      </c>
      <c r="G149" s="5441" t="s">
        <v>28</v>
      </c>
      <c r="H149" s="5441" t="s">
        <v>28</v>
      </c>
      <c r="I149" s="5441" t="s">
        <v>895</v>
      </c>
    </row>
    <row customHeight="1" ht="11.25">
      <c r="A150" s="5441" t="s">
        <v>2251</v>
      </c>
      <c r="B150" s="5441" t="s">
        <v>16</v>
      </c>
      <c r="C150" s="5441" t="s">
        <v>2309</v>
      </c>
      <c r="D150" s="5441" t="s">
        <v>2310</v>
      </c>
      <c r="E150" s="5441" t="s">
        <v>2311</v>
      </c>
      <c r="F150" s="5441" t="s">
        <v>2312</v>
      </c>
      <c r="G150" s="5441" t="s">
        <v>28</v>
      </c>
      <c r="H150" s="5441" t="s">
        <v>28</v>
      </c>
      <c r="I150" s="5441" t="s">
        <v>895</v>
      </c>
    </row>
    <row customHeight="1" ht="11.25">
      <c r="A151" s="5441" t="s">
        <v>2251</v>
      </c>
      <c r="B151" s="5441" t="s">
        <v>16</v>
      </c>
      <c r="C151" s="5441" t="s">
        <v>2313</v>
      </c>
      <c r="D151" s="5441" t="s">
        <v>2314</v>
      </c>
      <c r="E151" s="5441" t="s">
        <v>2315</v>
      </c>
      <c r="F151" s="5441" t="s">
        <v>2316</v>
      </c>
      <c r="G151" s="5441" t="s">
        <v>28</v>
      </c>
      <c r="H151" s="5441" t="s">
        <v>28</v>
      </c>
      <c r="I151" s="5441" t="s">
        <v>895</v>
      </c>
    </row>
    <row customHeight="1" ht="11.25">
      <c r="A152" s="5441" t="s">
        <v>2251</v>
      </c>
      <c r="B152" s="5441" t="s">
        <v>16</v>
      </c>
      <c r="C152" s="5441" t="s">
        <v>2320</v>
      </c>
      <c r="D152" s="5441" t="s">
        <v>2321</v>
      </c>
      <c r="E152" s="5441" t="s">
        <v>2322</v>
      </c>
      <c r="F152" s="5441" t="s">
        <v>2289</v>
      </c>
      <c r="G152" s="5441" t="s">
        <v>2323</v>
      </c>
      <c r="H152" s="5441" t="s">
        <v>28</v>
      </c>
      <c r="I152" s="5441" t="s">
        <v>895</v>
      </c>
    </row>
    <row customHeight="1" ht="11.25">
      <c r="A153" s="5441" t="s">
        <v>2251</v>
      </c>
      <c r="B153" s="5441" t="s">
        <v>16</v>
      </c>
      <c r="C153" s="5441" t="s">
        <v>2324</v>
      </c>
      <c r="D153" s="5441" t="s">
        <v>2325</v>
      </c>
      <c r="E153" s="5441" t="s">
        <v>2326</v>
      </c>
      <c r="F153" s="5441" t="s">
        <v>2281</v>
      </c>
      <c r="G153" s="5441" t="s">
        <v>28</v>
      </c>
      <c r="H153" s="5441" t="s">
        <v>28</v>
      </c>
      <c r="I153" s="5441" t="s">
        <v>895</v>
      </c>
    </row>
    <row customHeight="1" ht="11.25">
      <c r="A154" s="5441" t="s">
        <v>2251</v>
      </c>
      <c r="B154" s="5441" t="s">
        <v>16</v>
      </c>
      <c r="C154" s="5441" t="s">
        <v>2327</v>
      </c>
      <c r="D154" s="5441" t="s">
        <v>2328</v>
      </c>
      <c r="E154" s="5441" t="s">
        <v>2329</v>
      </c>
      <c r="F154" s="5441" t="s">
        <v>2281</v>
      </c>
      <c r="G154" s="5441" t="s">
        <v>28</v>
      </c>
      <c r="H154" s="5441" t="s">
        <v>28</v>
      </c>
      <c r="I154" s="5441" t="s">
        <v>895</v>
      </c>
    </row>
    <row customHeight="1" ht="11.25">
      <c r="A155" s="5441" t="s">
        <v>2251</v>
      </c>
      <c r="B155" s="5441" t="s">
        <v>16</v>
      </c>
      <c r="C155" s="5441" t="s">
        <v>2330</v>
      </c>
      <c r="D155" s="5441" t="s">
        <v>2331</v>
      </c>
      <c r="E155" s="5441" t="s">
        <v>2332</v>
      </c>
      <c r="F155" s="5441" t="s">
        <v>2333</v>
      </c>
      <c r="G155" s="5441" t="s">
        <v>2334</v>
      </c>
      <c r="H155" s="5441" t="s">
        <v>28</v>
      </c>
      <c r="I155" s="5441" t="s">
        <v>895</v>
      </c>
    </row>
    <row customHeight="1" ht="11.25">
      <c r="A156" s="5441" t="s">
        <v>2251</v>
      </c>
      <c r="B156" s="5441" t="s">
        <v>16</v>
      </c>
      <c r="C156" s="5441" t="s">
        <v>2345</v>
      </c>
      <c r="D156" s="5441" t="s">
        <v>2346</v>
      </c>
      <c r="E156" s="5441" t="s">
        <v>2347</v>
      </c>
      <c r="F156" s="5441" t="s">
        <v>51</v>
      </c>
      <c r="G156" s="5441" t="s">
        <v>28</v>
      </c>
      <c r="H156" s="5441" t="s">
        <v>28</v>
      </c>
      <c r="I156" s="5441" t="s">
        <v>895</v>
      </c>
    </row>
    <row customHeight="1" ht="11.25">
      <c r="A157" s="5441" t="s">
        <v>2251</v>
      </c>
      <c r="B157" s="5441" t="s">
        <v>16</v>
      </c>
      <c r="C157" s="5441" t="s">
        <v>2348</v>
      </c>
      <c r="D157" s="5441" t="s">
        <v>2349</v>
      </c>
      <c r="E157" s="5441" t="s">
        <v>2350</v>
      </c>
      <c r="F157" s="5441" t="s">
        <v>2333</v>
      </c>
      <c r="G157" s="5441" t="s">
        <v>28</v>
      </c>
      <c r="H157" s="5441" t="s">
        <v>28</v>
      </c>
      <c r="I157" s="5441" t="s">
        <v>895</v>
      </c>
    </row>
    <row customHeight="1" ht="11.25">
      <c r="A158" s="5441" t="s">
        <v>2251</v>
      </c>
      <c r="B158" s="5441" t="s">
        <v>16</v>
      </c>
      <c r="C158" s="5441" t="s">
        <v>2366</v>
      </c>
      <c r="D158" s="5441" t="s">
        <v>2367</v>
      </c>
      <c r="E158" s="5441" t="s">
        <v>2368</v>
      </c>
      <c r="F158" s="5441" t="s">
        <v>2369</v>
      </c>
      <c r="G158" s="5441" t="s">
        <v>28</v>
      </c>
      <c r="H158" s="5441" t="s">
        <v>28</v>
      </c>
      <c r="I158" s="5441" t="s">
        <v>895</v>
      </c>
    </row>
    <row customHeight="1" ht="11.25">
      <c r="A159" s="5441" t="s">
        <v>2251</v>
      </c>
      <c r="B159" s="5441" t="s">
        <v>16</v>
      </c>
      <c r="C159" s="5441" t="s">
        <v>2370</v>
      </c>
      <c r="D159" s="5441" t="s">
        <v>2371</v>
      </c>
      <c r="E159" s="5441" t="s">
        <v>2372</v>
      </c>
      <c r="F159" s="5441" t="s">
        <v>51</v>
      </c>
      <c r="G159" s="5441" t="s">
        <v>28</v>
      </c>
      <c r="H159" s="5441" t="s">
        <v>28</v>
      </c>
      <c r="I159" s="5441" t="s">
        <v>895</v>
      </c>
    </row>
    <row customHeight="1" ht="11.25">
      <c r="A160" s="5441" t="s">
        <v>2251</v>
      </c>
      <c r="B160" s="5441" t="s">
        <v>16</v>
      </c>
      <c r="C160" s="5441" t="s">
        <v>2373</v>
      </c>
      <c r="D160" s="5441" t="s">
        <v>2374</v>
      </c>
      <c r="E160" s="5441" t="s">
        <v>2375</v>
      </c>
      <c r="F160" s="5441" t="s">
        <v>2333</v>
      </c>
      <c r="G160" s="5441" t="s">
        <v>28</v>
      </c>
      <c r="H160" s="5441" t="s">
        <v>28</v>
      </c>
      <c r="I160" s="5441" t="s">
        <v>895</v>
      </c>
    </row>
    <row customHeight="1" ht="11.25">
      <c r="A161" s="5441" t="s">
        <v>2251</v>
      </c>
      <c r="B161" s="5441" t="s">
        <v>16</v>
      </c>
      <c r="C161" s="5441" t="s">
        <v>2376</v>
      </c>
      <c r="D161" s="5441" t="s">
        <v>2377</v>
      </c>
      <c r="E161" s="5441" t="s">
        <v>2378</v>
      </c>
      <c r="F161" s="5441" t="s">
        <v>2379</v>
      </c>
      <c r="G161" s="5441" t="s">
        <v>28</v>
      </c>
      <c r="H161" s="5441" t="s">
        <v>28</v>
      </c>
      <c r="I161" s="5441" t="s">
        <v>895</v>
      </c>
    </row>
    <row customHeight="1" ht="11.25">
      <c r="A162" s="5441" t="s">
        <v>2251</v>
      </c>
      <c r="B162" s="5441" t="s">
        <v>16</v>
      </c>
      <c r="C162" s="5441" t="s">
        <v>28</v>
      </c>
      <c r="D162" s="5441" t="s">
        <v>2380</v>
      </c>
      <c r="E162" s="5441" t="s">
        <v>2381</v>
      </c>
      <c r="F162" s="5441" t="s">
        <v>2312</v>
      </c>
      <c r="G162" s="5441" t="s">
        <v>28</v>
      </c>
      <c r="H162" s="5441" t="s">
        <v>28</v>
      </c>
      <c r="I162" s="5441" t="s">
        <v>895</v>
      </c>
    </row>
    <row customHeight="1" ht="11.25">
      <c r="A163" s="5441" t="s">
        <v>2251</v>
      </c>
      <c r="B163" s="5441" t="s">
        <v>16</v>
      </c>
      <c r="C163" s="5441" t="s">
        <v>2385</v>
      </c>
      <c r="D163" s="5441" t="s">
        <v>2386</v>
      </c>
      <c r="E163" s="5441" t="s">
        <v>2387</v>
      </c>
      <c r="F163" s="5441" t="s">
        <v>2369</v>
      </c>
      <c r="G163" s="5441" t="s">
        <v>2388</v>
      </c>
      <c r="H163" s="5441" t="s">
        <v>28</v>
      </c>
      <c r="I163" s="5441" t="s">
        <v>895</v>
      </c>
    </row>
    <row customHeight="1" ht="11.25">
      <c r="A164" s="5441" t="s">
        <v>2251</v>
      </c>
      <c r="B164" s="5441" t="s">
        <v>16</v>
      </c>
      <c r="C164" s="5441" t="s">
        <v>2405</v>
      </c>
      <c r="D164" s="5441" t="s">
        <v>2406</v>
      </c>
      <c r="E164" s="5441" t="s">
        <v>2407</v>
      </c>
      <c r="F164" s="5441" t="s">
        <v>2408</v>
      </c>
      <c r="G164" s="5441" t="s">
        <v>28</v>
      </c>
      <c r="H164" s="5441" t="s">
        <v>28</v>
      </c>
      <c r="I164" s="5441" t="s">
        <v>895</v>
      </c>
    </row>
    <row customHeight="1" ht="11.25">
      <c r="A165" s="5441" t="s">
        <v>2251</v>
      </c>
      <c r="B165" s="5441" t="s">
        <v>16</v>
      </c>
      <c r="C165" s="5441" t="s">
        <v>2412</v>
      </c>
      <c r="D165" s="5441" t="s">
        <v>2413</v>
      </c>
      <c r="E165" s="5441" t="s">
        <v>2414</v>
      </c>
      <c r="F165" s="5441" t="s">
        <v>2277</v>
      </c>
      <c r="G165" s="5441" t="s">
        <v>2415</v>
      </c>
      <c r="H165" s="5441" t="s">
        <v>28</v>
      </c>
      <c r="I165" s="5441" t="s">
        <v>895</v>
      </c>
    </row>
    <row customHeight="1" ht="11.25">
      <c r="A166" s="5441" t="s">
        <v>2251</v>
      </c>
      <c r="B166" s="5441" t="s">
        <v>16</v>
      </c>
      <c r="C166" s="5441" t="s">
        <v>2416</v>
      </c>
      <c r="D166" s="5441" t="s">
        <v>2417</v>
      </c>
      <c r="E166" s="5441" t="s">
        <v>2418</v>
      </c>
      <c r="F166" s="5441" t="s">
        <v>2285</v>
      </c>
      <c r="G166" s="5441" t="s">
        <v>28</v>
      </c>
      <c r="H166" s="5441" t="s">
        <v>28</v>
      </c>
      <c r="I166" s="5441" t="s">
        <v>895</v>
      </c>
    </row>
    <row customHeight="1" ht="11.25">
      <c r="A167" s="5441" t="s">
        <v>2251</v>
      </c>
      <c r="B167" s="5441" t="s">
        <v>16</v>
      </c>
      <c r="C167" s="5441" t="s">
        <v>2419</v>
      </c>
      <c r="D167" s="5441" t="s">
        <v>2420</v>
      </c>
      <c r="E167" s="5441" t="s">
        <v>2421</v>
      </c>
      <c r="F167" s="5441" t="s">
        <v>2408</v>
      </c>
      <c r="G167" s="5441" t="s">
        <v>28</v>
      </c>
      <c r="H167" s="5441" t="s">
        <v>28</v>
      </c>
      <c r="I167" s="5441" t="s">
        <v>895</v>
      </c>
    </row>
    <row customHeight="1" ht="11.25">
      <c r="A168" s="5441" t="s">
        <v>2251</v>
      </c>
      <c r="B168" s="5441" t="s">
        <v>16</v>
      </c>
      <c r="C168" s="5441" t="s">
        <v>2422</v>
      </c>
      <c r="D168" s="5441" t="s">
        <v>2423</v>
      </c>
      <c r="E168" s="5441" t="s">
        <v>2424</v>
      </c>
      <c r="F168" s="5441" t="s">
        <v>2285</v>
      </c>
      <c r="G168" s="5441" t="s">
        <v>2425</v>
      </c>
      <c r="H168" s="5441" t="s">
        <v>28</v>
      </c>
      <c r="I168" s="5441" t="s">
        <v>895</v>
      </c>
    </row>
    <row customHeight="1" ht="11.25">
      <c r="A169" s="5441" t="s">
        <v>2251</v>
      </c>
      <c r="B169" s="5441" t="s">
        <v>16</v>
      </c>
      <c r="C169" s="5441" t="s">
        <v>2426</v>
      </c>
      <c r="D169" s="5441" t="s">
        <v>2427</v>
      </c>
      <c r="E169" s="5441" t="s">
        <v>2428</v>
      </c>
      <c r="F169" s="5441" t="s">
        <v>2365</v>
      </c>
      <c r="G169" s="5441" t="s">
        <v>28</v>
      </c>
      <c r="H169" s="5441" t="s">
        <v>28</v>
      </c>
      <c r="I169" s="5441" t="s">
        <v>895</v>
      </c>
    </row>
    <row customHeight="1" ht="11.25">
      <c r="A170" s="5441" t="s">
        <v>2251</v>
      </c>
      <c r="B170" s="5441" t="s">
        <v>16</v>
      </c>
      <c r="C170" s="5441" t="s">
        <v>2432</v>
      </c>
      <c r="D170" s="5441" t="s">
        <v>2433</v>
      </c>
      <c r="E170" s="5441" t="s">
        <v>2434</v>
      </c>
      <c r="F170" s="5441" t="s">
        <v>51</v>
      </c>
      <c r="G170" s="5441" t="s">
        <v>2435</v>
      </c>
      <c r="H170" s="5441" t="s">
        <v>28</v>
      </c>
      <c r="I170" s="5441" t="s">
        <v>895</v>
      </c>
    </row>
    <row customHeight="1" ht="11.25">
      <c r="A171" s="5441" t="s">
        <v>2251</v>
      </c>
      <c r="B171" s="5441" t="s">
        <v>16</v>
      </c>
      <c r="C171" s="5441" t="s">
        <v>2446</v>
      </c>
      <c r="D171" s="5441" t="s">
        <v>2447</v>
      </c>
      <c r="E171" s="5441" t="s">
        <v>2448</v>
      </c>
      <c r="F171" s="5441" t="s">
        <v>51</v>
      </c>
      <c r="G171" s="5441" t="s">
        <v>28</v>
      </c>
      <c r="H171" s="5441" t="s">
        <v>28</v>
      </c>
      <c r="I171" s="5441" t="s">
        <v>895</v>
      </c>
    </row>
    <row customHeight="1" ht="11.25">
      <c r="A172" s="5441" t="s">
        <v>2251</v>
      </c>
      <c r="B172" s="5441" t="s">
        <v>16</v>
      </c>
      <c r="C172" s="5441" t="s">
        <v>2449</v>
      </c>
      <c r="D172" s="5441" t="s">
        <v>2450</v>
      </c>
      <c r="E172" s="5441" t="s">
        <v>2451</v>
      </c>
      <c r="F172" s="5441" t="s">
        <v>2316</v>
      </c>
      <c r="G172" s="5441" t="s">
        <v>2452</v>
      </c>
      <c r="H172" s="5441" t="s">
        <v>28</v>
      </c>
      <c r="I172" s="5441" t="s">
        <v>895</v>
      </c>
    </row>
    <row customHeight="1" ht="11.25">
      <c r="A173" s="5441" t="s">
        <v>2251</v>
      </c>
      <c r="B173" s="5441" t="s">
        <v>16</v>
      </c>
      <c r="C173" s="5441" t="s">
        <v>2453</v>
      </c>
      <c r="D173" s="5441" t="s">
        <v>2454</v>
      </c>
      <c r="E173" s="5441" t="s">
        <v>2455</v>
      </c>
      <c r="F173" s="5441" t="s">
        <v>2316</v>
      </c>
      <c r="G173" s="5441" t="s">
        <v>28</v>
      </c>
      <c r="H173" s="5441" t="s">
        <v>28</v>
      </c>
      <c r="I173" s="5441" t="s">
        <v>895</v>
      </c>
    </row>
    <row customHeight="1" ht="11.25">
      <c r="A174" s="5441" t="s">
        <v>2251</v>
      </c>
      <c r="B174" s="5441" t="s">
        <v>16</v>
      </c>
      <c r="C174" s="5441" t="s">
        <v>2459</v>
      </c>
      <c r="D174" s="5441" t="s">
        <v>2460</v>
      </c>
      <c r="E174" s="5441" t="s">
        <v>2461</v>
      </c>
      <c r="F174" s="5441" t="s">
        <v>2369</v>
      </c>
      <c r="G174" s="5441" t="s">
        <v>28</v>
      </c>
      <c r="H174" s="5441" t="s">
        <v>28</v>
      </c>
      <c r="I174" s="5441" t="s">
        <v>895</v>
      </c>
    </row>
    <row customHeight="1" ht="11.25">
      <c r="A175" s="5441" t="s">
        <v>2251</v>
      </c>
      <c r="B175" s="5441" t="s">
        <v>16</v>
      </c>
      <c r="C175" s="5441" t="s">
        <v>2471</v>
      </c>
      <c r="D175" s="5441" t="s">
        <v>2472</v>
      </c>
      <c r="E175" s="5441" t="s">
        <v>2473</v>
      </c>
      <c r="F175" s="5441" t="s">
        <v>51</v>
      </c>
      <c r="G175" s="5441" t="s">
        <v>28</v>
      </c>
      <c r="H175" s="5441" t="s">
        <v>28</v>
      </c>
      <c r="I175" s="5441" t="s">
        <v>895</v>
      </c>
    </row>
    <row customHeight="1" ht="11.25">
      <c r="A176" s="5441" t="s">
        <v>2251</v>
      </c>
      <c r="B176" s="5441" t="s">
        <v>16</v>
      </c>
      <c r="C176" s="5441" t="s">
        <v>2474</v>
      </c>
      <c r="D176" s="5441" t="s">
        <v>2475</v>
      </c>
      <c r="E176" s="5441" t="s">
        <v>2476</v>
      </c>
      <c r="F176" s="5441" t="s">
        <v>2369</v>
      </c>
      <c r="G176" s="5441" t="s">
        <v>28</v>
      </c>
      <c r="H176" s="5441" t="s">
        <v>28</v>
      </c>
      <c r="I176" s="5441" t="s">
        <v>895</v>
      </c>
    </row>
    <row customHeight="1" ht="11.25">
      <c r="A177" s="5441" t="s">
        <v>2251</v>
      </c>
      <c r="B177" s="5441" t="s">
        <v>16</v>
      </c>
      <c r="C177" s="5441" t="s">
        <v>2477</v>
      </c>
      <c r="D177" s="5441" t="s">
        <v>2478</v>
      </c>
      <c r="E177" s="5441" t="s">
        <v>2479</v>
      </c>
      <c r="F177" s="5441" t="s">
        <v>2281</v>
      </c>
      <c r="G177" s="5441" t="s">
        <v>28</v>
      </c>
      <c r="H177" s="5441" t="s">
        <v>28</v>
      </c>
      <c r="I177" s="5441" t="s">
        <v>895</v>
      </c>
    </row>
    <row customHeight="1" ht="11.25">
      <c r="A178" s="5441" t="s">
        <v>2251</v>
      </c>
      <c r="B178" s="5441" t="s">
        <v>16</v>
      </c>
      <c r="C178" s="5441" t="s">
        <v>2483</v>
      </c>
      <c r="D178" s="5441" t="s">
        <v>2484</v>
      </c>
      <c r="E178" s="5441" t="s">
        <v>2485</v>
      </c>
      <c r="F178" s="5441" t="s">
        <v>2312</v>
      </c>
      <c r="G178" s="5441" t="s">
        <v>28</v>
      </c>
      <c r="H178" s="5441" t="s">
        <v>28</v>
      </c>
      <c r="I178" s="5441" t="s">
        <v>895</v>
      </c>
    </row>
    <row customHeight="1" ht="11.25">
      <c r="A179" s="5441" t="s">
        <v>2251</v>
      </c>
      <c r="B179" s="5441" t="s">
        <v>16</v>
      </c>
      <c r="C179" s="5441" t="s">
        <v>2486</v>
      </c>
      <c r="D179" s="5441" t="s">
        <v>2487</v>
      </c>
      <c r="E179" s="5441" t="s">
        <v>2488</v>
      </c>
      <c r="F179" s="5441" t="s">
        <v>2489</v>
      </c>
      <c r="G179" s="5441" t="s">
        <v>2490</v>
      </c>
      <c r="H179" s="5441" t="s">
        <v>28</v>
      </c>
      <c r="I179" s="5441" t="s">
        <v>895</v>
      </c>
    </row>
    <row customHeight="1" ht="11.25">
      <c r="A180" s="5441" t="s">
        <v>2251</v>
      </c>
      <c r="B180" s="5441" t="s">
        <v>16</v>
      </c>
      <c r="C180" s="5441" t="s">
        <v>2491</v>
      </c>
      <c r="D180" s="5441" t="s">
        <v>2492</v>
      </c>
      <c r="E180" s="5441" t="s">
        <v>2493</v>
      </c>
      <c r="F180" s="5441" t="s">
        <v>2494</v>
      </c>
      <c r="G180" s="5441" t="s">
        <v>2495</v>
      </c>
      <c r="H180" s="5441" t="s">
        <v>28</v>
      </c>
      <c r="I180" s="5441" t="s">
        <v>895</v>
      </c>
    </row>
    <row customHeight="1" ht="11.25">
      <c r="A181" s="5441" t="s">
        <v>2251</v>
      </c>
      <c r="B181" s="5441" t="s">
        <v>16</v>
      </c>
      <c r="C181" s="5441" t="s">
        <v>2505</v>
      </c>
      <c r="D181" s="5441" t="s">
        <v>2506</v>
      </c>
      <c r="E181" s="5441" t="s">
        <v>2507</v>
      </c>
      <c r="F181" s="5441" t="s">
        <v>2333</v>
      </c>
      <c r="G181" s="5441" t="s">
        <v>2508</v>
      </c>
      <c r="H181" s="5441" t="s">
        <v>28</v>
      </c>
      <c r="I181" s="5441" t="s">
        <v>895</v>
      </c>
    </row>
    <row customHeight="1" ht="11.25">
      <c r="A182" s="5441" t="s">
        <v>2251</v>
      </c>
      <c r="B182" s="5441" t="s">
        <v>16</v>
      </c>
      <c r="C182" s="5441" t="s">
        <v>2513</v>
      </c>
      <c r="D182" s="5441" t="s">
        <v>2514</v>
      </c>
      <c r="E182" s="5441" t="s">
        <v>2515</v>
      </c>
      <c r="F182" s="5441" t="s">
        <v>2369</v>
      </c>
      <c r="G182" s="5441" t="s">
        <v>2516</v>
      </c>
      <c r="H182" s="5441" t="s">
        <v>28</v>
      </c>
      <c r="I182" s="5441" t="s">
        <v>895</v>
      </c>
    </row>
    <row customHeight="1" ht="11.25">
      <c r="A183" s="5441" t="s">
        <v>2251</v>
      </c>
      <c r="B183" s="5441" t="s">
        <v>16</v>
      </c>
      <c r="C183" s="5441" t="s">
        <v>2533</v>
      </c>
      <c r="D183" s="5441" t="s">
        <v>2534</v>
      </c>
      <c r="E183" s="5441" t="s">
        <v>2535</v>
      </c>
      <c r="F183" s="5441" t="s">
        <v>2369</v>
      </c>
      <c r="G183" s="5441" t="s">
        <v>28</v>
      </c>
      <c r="H183" s="5441" t="s">
        <v>28</v>
      </c>
      <c r="I183" s="5441" t="s">
        <v>895</v>
      </c>
    </row>
    <row customHeight="1" ht="11.25">
      <c r="A184" s="5441" t="s">
        <v>2251</v>
      </c>
      <c r="B184" s="5441" t="s">
        <v>16</v>
      </c>
      <c r="C184" s="5441" t="s">
        <v>2536</v>
      </c>
      <c r="D184" s="5441" t="s">
        <v>2537</v>
      </c>
      <c r="E184" s="5441" t="s">
        <v>2538</v>
      </c>
      <c r="F184" s="5441" t="s">
        <v>2285</v>
      </c>
      <c r="G184" s="5441" t="s">
        <v>28</v>
      </c>
      <c r="H184" s="5441" t="s">
        <v>28</v>
      </c>
      <c r="I184" s="5441" t="s">
        <v>895</v>
      </c>
    </row>
    <row customHeight="1" ht="11.25">
      <c r="A185" s="5441" t="s">
        <v>2251</v>
      </c>
      <c r="B185" s="5441" t="s">
        <v>16</v>
      </c>
      <c r="C185" s="5441" t="s">
        <v>2547</v>
      </c>
      <c r="D185" s="5441" t="s">
        <v>2548</v>
      </c>
      <c r="E185" s="5441" t="s">
        <v>2549</v>
      </c>
      <c r="F185" s="5441" t="s">
        <v>2369</v>
      </c>
      <c r="G185" s="5441" t="s">
        <v>2550</v>
      </c>
      <c r="H185" s="5441" t="s">
        <v>28</v>
      </c>
      <c r="I185" s="5441" t="s">
        <v>895</v>
      </c>
    </row>
    <row customHeight="1" ht="11.25">
      <c r="A186" s="5441" t="s">
        <v>2251</v>
      </c>
      <c r="B186" s="5441" t="s">
        <v>16</v>
      </c>
      <c r="C186" s="5441" t="s">
        <v>2558</v>
      </c>
      <c r="D186" s="5441" t="s">
        <v>2559</v>
      </c>
      <c r="E186" s="5441" t="s">
        <v>2560</v>
      </c>
      <c r="F186" s="5441" t="s">
        <v>2561</v>
      </c>
      <c r="G186" s="5441" t="s">
        <v>28</v>
      </c>
      <c r="H186" s="5441" t="s">
        <v>28</v>
      </c>
      <c r="I186" s="5441" t="s">
        <v>895</v>
      </c>
    </row>
    <row customHeight="1" ht="11.25">
      <c r="A187" s="5441" t="s">
        <v>2251</v>
      </c>
      <c r="B187" s="5441" t="s">
        <v>16</v>
      </c>
      <c r="C187" s="5441" t="s">
        <v>13</v>
      </c>
      <c r="D187" s="5441" t="s">
        <v>46</v>
      </c>
      <c r="E187" s="5441" t="s">
        <v>49</v>
      </c>
      <c r="F187" s="5441" t="s">
        <v>51</v>
      </c>
      <c r="G187" s="5441" t="s">
        <v>2566</v>
      </c>
      <c r="H187" s="5441" t="s">
        <v>28</v>
      </c>
      <c r="I187" s="5441" t="s">
        <v>895</v>
      </c>
    </row>
    <row customHeight="1" ht="11.25">
      <c r="A188" s="5441" t="s">
        <v>2251</v>
      </c>
      <c r="B188" s="5441" t="s">
        <v>16</v>
      </c>
      <c r="C188" s="5441" t="s">
        <v>2575</v>
      </c>
      <c r="D188" s="5441" t="s">
        <v>2576</v>
      </c>
      <c r="E188" s="5441" t="s">
        <v>2577</v>
      </c>
      <c r="F188" s="5441" t="s">
        <v>2312</v>
      </c>
      <c r="G188" s="5441" t="s">
        <v>2578</v>
      </c>
      <c r="H188" s="5441" t="s">
        <v>28</v>
      </c>
      <c r="I188" s="5441" t="s">
        <v>895</v>
      </c>
    </row>
    <row customHeight="1" ht="11.25">
      <c r="A189" s="5441" t="s">
        <v>2251</v>
      </c>
      <c r="B189" s="5441" t="s">
        <v>16</v>
      </c>
      <c r="C189" s="5441" t="s">
        <v>2579</v>
      </c>
      <c r="D189" s="5441" t="s">
        <v>2580</v>
      </c>
      <c r="E189" s="5441" t="s">
        <v>2581</v>
      </c>
      <c r="F189" s="5441" t="s">
        <v>51</v>
      </c>
      <c r="G189" s="5441" t="s">
        <v>28</v>
      </c>
      <c r="H189" s="5441" t="s">
        <v>28</v>
      </c>
      <c r="I189" s="5441" t="s">
        <v>895</v>
      </c>
    </row>
    <row customHeight="1" ht="11.25">
      <c r="A190" s="5441" t="s">
        <v>2251</v>
      </c>
      <c r="B190" s="5441" t="s">
        <v>16</v>
      </c>
      <c r="C190" s="5441" t="s">
        <v>2582</v>
      </c>
      <c r="D190" s="5441" t="s">
        <v>2583</v>
      </c>
      <c r="E190" s="5441" t="s">
        <v>2584</v>
      </c>
      <c r="F190" s="5441" t="s">
        <v>2365</v>
      </c>
      <c r="G190" s="5441" t="s">
        <v>28</v>
      </c>
      <c r="H190" s="5441" t="s">
        <v>28</v>
      </c>
      <c r="I190" s="5441" t="s">
        <v>895</v>
      </c>
    </row>
    <row customHeight="1" ht="11.25">
      <c r="A191" s="5441" t="s">
        <v>2251</v>
      </c>
      <c r="B191" s="5441" t="s">
        <v>16</v>
      </c>
      <c r="C191" s="5441" t="s">
        <v>2585</v>
      </c>
      <c r="D191" s="5441" t="s">
        <v>2586</v>
      </c>
      <c r="E191" s="5441" t="s">
        <v>2587</v>
      </c>
      <c r="F191" s="5441" t="s">
        <v>2312</v>
      </c>
      <c r="G191" s="5441" t="s">
        <v>2588</v>
      </c>
      <c r="H191" s="5441" t="s">
        <v>28</v>
      </c>
      <c r="I191" s="5441" t="s">
        <v>895</v>
      </c>
    </row>
    <row customHeight="1" ht="11.25">
      <c r="A192" s="5441" t="s">
        <v>2251</v>
      </c>
      <c r="B192" s="5441" t="s">
        <v>16</v>
      </c>
      <c r="C192" s="5441" t="s">
        <v>2589</v>
      </c>
      <c r="D192" s="5441" t="s">
        <v>2590</v>
      </c>
      <c r="E192" s="5441" t="s">
        <v>2591</v>
      </c>
      <c r="F192" s="5441" t="s">
        <v>2289</v>
      </c>
      <c r="G192" s="5441" t="s">
        <v>28</v>
      </c>
      <c r="H192" s="5441" t="s">
        <v>28</v>
      </c>
      <c r="I192" s="5441" t="s">
        <v>895</v>
      </c>
    </row>
    <row customHeight="1" ht="11.25">
      <c r="A193" s="5441" t="s">
        <v>2251</v>
      </c>
      <c r="B193" s="5441" t="s">
        <v>16</v>
      </c>
      <c r="C193" s="5441" t="s">
        <v>2596</v>
      </c>
      <c r="D193" s="5441" t="s">
        <v>2597</v>
      </c>
      <c r="E193" s="5441" t="s">
        <v>2598</v>
      </c>
      <c r="F193" s="5441" t="s">
        <v>2408</v>
      </c>
      <c r="G193" s="5441" t="s">
        <v>2599</v>
      </c>
      <c r="H193" s="5441" t="s">
        <v>28</v>
      </c>
      <c r="I193" s="5441" t="s">
        <v>895</v>
      </c>
    </row>
    <row customHeight="1" ht="11.25">
      <c r="A194" s="5441" t="s">
        <v>2251</v>
      </c>
      <c r="B194" s="5441" t="s">
        <v>16</v>
      </c>
      <c r="C194" s="5441" t="s">
        <v>2600</v>
      </c>
      <c r="D194" s="5441" t="s">
        <v>2601</v>
      </c>
      <c r="E194" s="5441" t="s">
        <v>2602</v>
      </c>
      <c r="F194" s="5441" t="s">
        <v>2369</v>
      </c>
      <c r="G194" s="5441" t="s">
        <v>2603</v>
      </c>
      <c r="H194" s="5441" t="s">
        <v>28</v>
      </c>
      <c r="I194" s="5441" t="s">
        <v>895</v>
      </c>
    </row>
    <row customHeight="1" ht="11.25">
      <c r="A195" s="5441" t="s">
        <v>2251</v>
      </c>
      <c r="B195" s="5441" t="s">
        <v>16</v>
      </c>
      <c r="C195" s="5441" t="s">
        <v>2622</v>
      </c>
      <c r="D195" s="5441" t="s">
        <v>2623</v>
      </c>
      <c r="E195" s="5441" t="s">
        <v>2624</v>
      </c>
      <c r="F195" s="5441" t="s">
        <v>2312</v>
      </c>
      <c r="G195" s="5441" t="s">
        <v>28</v>
      </c>
      <c r="H195" s="5441" t="s">
        <v>28</v>
      </c>
      <c r="I195" s="5441" t="s">
        <v>895</v>
      </c>
    </row>
    <row customHeight="1" ht="11.25">
      <c r="A196" s="5441" t="s">
        <v>2251</v>
      </c>
      <c r="B196" s="5441" t="s">
        <v>16</v>
      </c>
      <c r="C196" s="5441" t="s">
        <v>2625</v>
      </c>
      <c r="D196" s="5441" t="s">
        <v>2626</v>
      </c>
      <c r="E196" s="5441" t="s">
        <v>2627</v>
      </c>
      <c r="F196" s="5441" t="s">
        <v>2628</v>
      </c>
      <c r="G196" s="5441" t="s">
        <v>2629</v>
      </c>
      <c r="H196" s="5441" t="s">
        <v>28</v>
      </c>
      <c r="I196" s="5441" t="s">
        <v>895</v>
      </c>
    </row>
    <row customHeight="1" ht="11.25">
      <c r="A197" s="5441" t="s">
        <v>2251</v>
      </c>
      <c r="B197" s="5441" t="s">
        <v>16</v>
      </c>
      <c r="C197" s="5441" t="s">
        <v>2630</v>
      </c>
      <c r="D197" s="5441" t="s">
        <v>2631</v>
      </c>
      <c r="E197" s="5441" t="s">
        <v>2632</v>
      </c>
      <c r="F197" s="5441" t="s">
        <v>2316</v>
      </c>
      <c r="G197" s="5441" t="s">
        <v>28</v>
      </c>
      <c r="H197" s="5441" t="s">
        <v>28</v>
      </c>
      <c r="I197" s="5441" t="s">
        <v>895</v>
      </c>
    </row>
    <row customHeight="1" ht="11.25">
      <c r="A198" s="5441" t="s">
        <v>2251</v>
      </c>
      <c r="B198" s="5441" t="s">
        <v>16</v>
      </c>
      <c r="C198" s="5441" t="s">
        <v>2633</v>
      </c>
      <c r="D198" s="5441" t="s">
        <v>2634</v>
      </c>
      <c r="E198" s="5441" t="s">
        <v>2635</v>
      </c>
      <c r="F198" s="5441" t="s">
        <v>2408</v>
      </c>
      <c r="G198" s="5441" t="s">
        <v>2636</v>
      </c>
      <c r="H198" s="5441" t="s">
        <v>28</v>
      </c>
      <c r="I198" s="5441" t="s">
        <v>895</v>
      </c>
    </row>
    <row customHeight="1" ht="11.25">
      <c r="A199" s="5441" t="s">
        <v>2251</v>
      </c>
      <c r="B199" s="5441" t="s">
        <v>16</v>
      </c>
      <c r="C199" s="5441" t="s">
        <v>2644</v>
      </c>
      <c r="D199" s="5441" t="s">
        <v>2645</v>
      </c>
      <c r="E199" s="5441" t="s">
        <v>2646</v>
      </c>
      <c r="F199" s="5441" t="s">
        <v>2333</v>
      </c>
      <c r="G199" s="5441" t="s">
        <v>2647</v>
      </c>
      <c r="H199" s="5441" t="s">
        <v>28</v>
      </c>
      <c r="I199" s="5441" t="s">
        <v>895</v>
      </c>
    </row>
    <row customHeight="1" ht="11.25">
      <c r="A200" s="5441" t="s">
        <v>2251</v>
      </c>
      <c r="B200" s="5441" t="s">
        <v>16</v>
      </c>
      <c r="C200" s="5441" t="s">
        <v>2648</v>
      </c>
      <c r="D200" s="5441" t="s">
        <v>2649</v>
      </c>
      <c r="E200" s="5441" t="s">
        <v>2650</v>
      </c>
      <c r="F200" s="5441" t="s">
        <v>51</v>
      </c>
      <c r="G200" s="5441" t="s">
        <v>28</v>
      </c>
      <c r="H200" s="5441" t="s">
        <v>28</v>
      </c>
      <c r="I200" s="5441" t="s">
        <v>895</v>
      </c>
    </row>
    <row customHeight="1" ht="11.25">
      <c r="A201" s="5441" t="s">
        <v>2251</v>
      </c>
      <c r="B201" s="5441" t="s">
        <v>16</v>
      </c>
      <c r="C201" s="5441" t="s">
        <v>2666</v>
      </c>
      <c r="D201" s="5441" t="s">
        <v>2667</v>
      </c>
      <c r="E201" s="5441" t="s">
        <v>2668</v>
      </c>
      <c r="F201" s="5441" t="s">
        <v>2333</v>
      </c>
      <c r="G201" s="5441" t="s">
        <v>28</v>
      </c>
      <c r="H201" s="5441" t="s">
        <v>28</v>
      </c>
      <c r="I201" s="5441" t="s">
        <v>895</v>
      </c>
    </row>
    <row customHeight="1" ht="11.25">
      <c r="A202" s="5441" t="s">
        <v>2251</v>
      </c>
      <c r="B202" s="5441" t="s">
        <v>16</v>
      </c>
      <c r="C202" s="5441" t="s">
        <v>2681</v>
      </c>
      <c r="D202" s="5441" t="s">
        <v>2682</v>
      </c>
      <c r="E202" s="5441" t="s">
        <v>2683</v>
      </c>
      <c r="F202" s="5441" t="s">
        <v>51</v>
      </c>
      <c r="G202" s="5441" t="s">
        <v>28</v>
      </c>
      <c r="H202" s="5441" t="s">
        <v>28</v>
      </c>
      <c r="I202" s="5441" t="s">
        <v>895</v>
      </c>
    </row>
    <row customHeight="1" ht="11.25">
      <c r="A203" s="5441" t="s">
        <v>2251</v>
      </c>
      <c r="B203" s="5441" t="s">
        <v>16</v>
      </c>
      <c r="C203" s="5441" t="s">
        <v>2687</v>
      </c>
      <c r="D203" s="5441" t="s">
        <v>2688</v>
      </c>
      <c r="E203" s="5441" t="s">
        <v>2689</v>
      </c>
      <c r="F203" s="5441" t="s">
        <v>2281</v>
      </c>
      <c r="G203" s="5441" t="s">
        <v>28</v>
      </c>
      <c r="H203" s="5441" t="s">
        <v>28</v>
      </c>
      <c r="I203" s="5441" t="s">
        <v>895</v>
      </c>
    </row>
    <row customHeight="1" ht="11.25">
      <c r="A204" s="5441" t="s">
        <v>2251</v>
      </c>
      <c r="B204" s="5441" t="s">
        <v>16</v>
      </c>
      <c r="C204" s="5441" t="s">
        <v>2690</v>
      </c>
      <c r="D204" s="5441" t="s">
        <v>2688</v>
      </c>
      <c r="E204" s="5441" t="s">
        <v>2689</v>
      </c>
      <c r="F204" s="5441" t="s">
        <v>2691</v>
      </c>
      <c r="G204" s="5441" t="s">
        <v>28</v>
      </c>
      <c r="H204" s="5441" t="s">
        <v>28</v>
      </c>
      <c r="I204" s="5441" t="s">
        <v>895</v>
      </c>
    </row>
    <row customHeight="1" ht="11.25">
      <c r="A205" s="5441" t="s">
        <v>2251</v>
      </c>
      <c r="B205" s="5441" t="s">
        <v>16</v>
      </c>
      <c r="C205" s="5441" t="s">
        <v>2703</v>
      </c>
      <c r="D205" s="5441" t="s">
        <v>2704</v>
      </c>
      <c r="E205" s="5441" t="s">
        <v>2705</v>
      </c>
      <c r="F205" s="5441" t="s">
        <v>2706</v>
      </c>
      <c r="G205" s="5441" t="s">
        <v>28</v>
      </c>
      <c r="H205" s="5441" t="s">
        <v>28</v>
      </c>
      <c r="I205" s="5441" t="s">
        <v>895</v>
      </c>
    </row>
    <row customHeight="1" ht="11.25">
      <c r="A206" s="5441" t="s">
        <v>2251</v>
      </c>
      <c r="B206" s="5441" t="s">
        <v>16</v>
      </c>
      <c r="C206" s="5441" t="s">
        <v>2707</v>
      </c>
      <c r="D206" s="5441" t="s">
        <v>2708</v>
      </c>
      <c r="E206" s="5441" t="s">
        <v>2709</v>
      </c>
      <c r="F206" s="5441" t="s">
        <v>2710</v>
      </c>
      <c r="G206" s="5441" t="s">
        <v>28</v>
      </c>
      <c r="H206" s="5441" t="s">
        <v>28</v>
      </c>
      <c r="I206" s="5441" t="s">
        <v>895</v>
      </c>
    </row>
    <row customHeight="1" ht="11.25">
      <c r="A207" s="5441" t="s">
        <v>2251</v>
      </c>
      <c r="B207" s="5441" t="s">
        <v>16</v>
      </c>
      <c r="C207" s="5441" t="s">
        <v>2714</v>
      </c>
      <c r="D207" s="5441" t="s">
        <v>2715</v>
      </c>
      <c r="E207" s="5441" t="s">
        <v>2716</v>
      </c>
      <c r="F207" s="5441" t="s">
        <v>51</v>
      </c>
      <c r="G207" s="5441" t="s">
        <v>28</v>
      </c>
      <c r="H207" s="5441" t="s">
        <v>28</v>
      </c>
      <c r="I207" s="5441" t="s">
        <v>895</v>
      </c>
    </row>
    <row customHeight="1" ht="11.25">
      <c r="A208" s="5441" t="s">
        <v>2251</v>
      </c>
      <c r="B208" s="5441" t="s">
        <v>16</v>
      </c>
      <c r="C208" s="5441" t="s">
        <v>2732</v>
      </c>
      <c r="D208" s="5441" t="s">
        <v>2733</v>
      </c>
      <c r="E208" s="5441" t="s">
        <v>2734</v>
      </c>
      <c r="F208" s="5441" t="s">
        <v>2735</v>
      </c>
      <c r="G208" s="5441" t="s">
        <v>28</v>
      </c>
      <c r="H208" s="5441" t="s">
        <v>28</v>
      </c>
      <c r="I208" s="5441" t="s">
        <v>895</v>
      </c>
    </row>
    <row customHeight="1" ht="11.25">
      <c r="A209" s="5441" t="s">
        <v>2251</v>
      </c>
      <c r="B209" s="5441" t="s">
        <v>16</v>
      </c>
      <c r="C209" s="5441" t="s">
        <v>2736</v>
      </c>
      <c r="D209" s="5441" t="s">
        <v>2737</v>
      </c>
      <c r="E209" s="5441" t="s">
        <v>2738</v>
      </c>
      <c r="F209" s="5441" t="s">
        <v>2312</v>
      </c>
      <c r="G209" s="5441" t="s">
        <v>28</v>
      </c>
      <c r="H209" s="5441" t="s">
        <v>28</v>
      </c>
      <c r="I209" s="5441" t="s">
        <v>895</v>
      </c>
    </row>
    <row customHeight="1" ht="11.25">
      <c r="A210" s="5441" t="s">
        <v>2251</v>
      </c>
      <c r="B210" s="5441" t="s">
        <v>16</v>
      </c>
      <c r="C210" s="5441" t="s">
        <v>2261</v>
      </c>
      <c r="D210" s="5441" t="s">
        <v>2262</v>
      </c>
      <c r="E210" s="5441" t="s">
        <v>2263</v>
      </c>
      <c r="F210" s="5441" t="s">
        <v>2264</v>
      </c>
      <c r="G210" s="5441" t="s">
        <v>2265</v>
      </c>
      <c r="H210" s="5441" t="s">
        <v>28</v>
      </c>
      <c r="I210" s="5441" t="s">
        <v>855</v>
      </c>
    </row>
    <row customHeight="1" ht="11.25">
      <c r="A211" s="5441" t="s">
        <v>2251</v>
      </c>
      <c r="B211" s="5441" t="s">
        <v>16</v>
      </c>
      <c r="C211" s="5441" t="s">
        <v>2270</v>
      </c>
      <c r="D211" s="5441" t="s">
        <v>2271</v>
      </c>
      <c r="E211" s="5441" t="s">
        <v>2272</v>
      </c>
      <c r="F211" s="5441" t="s">
        <v>2273</v>
      </c>
      <c r="G211" s="5441" t="s">
        <v>28</v>
      </c>
      <c r="H211" s="5441" t="s">
        <v>28</v>
      </c>
      <c r="I211" s="5441" t="s">
        <v>855</v>
      </c>
    </row>
    <row customHeight="1" ht="11.25">
      <c r="A212" s="5441" t="s">
        <v>2251</v>
      </c>
      <c r="B212" s="5441" t="s">
        <v>16</v>
      </c>
      <c r="C212" s="5441" t="s">
        <v>2274</v>
      </c>
      <c r="D212" s="5441" t="s">
        <v>2275</v>
      </c>
      <c r="E212" s="5441" t="s">
        <v>2276</v>
      </c>
      <c r="F212" s="5441" t="s">
        <v>2277</v>
      </c>
      <c r="G212" s="5441" t="s">
        <v>28</v>
      </c>
      <c r="H212" s="5441" t="s">
        <v>28</v>
      </c>
      <c r="I212" s="5441" t="s">
        <v>855</v>
      </c>
    </row>
    <row customHeight="1" ht="11.25">
      <c r="A213" s="5441" t="s">
        <v>2251</v>
      </c>
      <c r="B213" s="5441" t="s">
        <v>16</v>
      </c>
      <c r="C213" s="5441" t="s">
        <v>2745</v>
      </c>
      <c r="D213" s="5441" t="s">
        <v>2746</v>
      </c>
      <c r="E213" s="5441" t="s">
        <v>2747</v>
      </c>
      <c r="F213" s="5441" t="s">
        <v>2312</v>
      </c>
      <c r="G213" s="5441" t="s">
        <v>28</v>
      </c>
      <c r="H213" s="5441" t="s">
        <v>28</v>
      </c>
      <c r="I213" s="5441" t="s">
        <v>855</v>
      </c>
    </row>
    <row customHeight="1" ht="11.25">
      <c r="A214" s="5441" t="s">
        <v>2251</v>
      </c>
      <c r="B214" s="5441" t="s">
        <v>16</v>
      </c>
      <c r="C214" s="5441" t="s">
        <v>2290</v>
      </c>
      <c r="D214" s="5441" t="s">
        <v>2291</v>
      </c>
      <c r="E214" s="5441" t="s">
        <v>2292</v>
      </c>
      <c r="F214" s="5441" t="s">
        <v>2293</v>
      </c>
      <c r="G214" s="5441" t="s">
        <v>28</v>
      </c>
      <c r="H214" s="5441" t="s">
        <v>28</v>
      </c>
      <c r="I214" s="5441" t="s">
        <v>855</v>
      </c>
    </row>
    <row customHeight="1" ht="11.25">
      <c r="A215" s="5441" t="s">
        <v>2251</v>
      </c>
      <c r="B215" s="5441" t="s">
        <v>16</v>
      </c>
      <c r="C215" s="5441" t="s">
        <v>2298</v>
      </c>
      <c r="D215" s="5441" t="s">
        <v>2299</v>
      </c>
      <c r="E215" s="5441" t="s">
        <v>2300</v>
      </c>
      <c r="F215" s="5441" t="s">
        <v>2269</v>
      </c>
      <c r="G215" s="5441" t="s">
        <v>28</v>
      </c>
      <c r="H215" s="5441" t="s">
        <v>28</v>
      </c>
      <c r="I215" s="5441" t="s">
        <v>855</v>
      </c>
    </row>
    <row customHeight="1" ht="11.25">
      <c r="A216" s="5441" t="s">
        <v>2251</v>
      </c>
      <c r="B216" s="5441" t="s">
        <v>16</v>
      </c>
      <c r="C216" s="5441" t="s">
        <v>2306</v>
      </c>
      <c r="D216" s="5441" t="s">
        <v>2307</v>
      </c>
      <c r="E216" s="5441" t="s">
        <v>2308</v>
      </c>
      <c r="F216" s="5441" t="s">
        <v>51</v>
      </c>
      <c r="G216" s="5441" t="s">
        <v>28</v>
      </c>
      <c r="H216" s="5441" t="s">
        <v>28</v>
      </c>
      <c r="I216" s="5441" t="s">
        <v>855</v>
      </c>
    </row>
    <row customHeight="1" ht="11.25">
      <c r="A217" s="5441" t="s">
        <v>2251</v>
      </c>
      <c r="B217" s="5441" t="s">
        <v>16</v>
      </c>
      <c r="C217" s="5441" t="s">
        <v>2748</v>
      </c>
      <c r="D217" s="5441" t="s">
        <v>2749</v>
      </c>
      <c r="E217" s="5441" t="s">
        <v>2750</v>
      </c>
      <c r="F217" s="5441" t="s">
        <v>2365</v>
      </c>
      <c r="G217" s="5441" t="s">
        <v>28</v>
      </c>
      <c r="H217" s="5441" t="s">
        <v>28</v>
      </c>
      <c r="I217" s="5441" t="s">
        <v>855</v>
      </c>
    </row>
    <row customHeight="1" ht="11.25">
      <c r="A218" s="5441" t="s">
        <v>2251</v>
      </c>
      <c r="B218" s="5441" t="s">
        <v>16</v>
      </c>
      <c r="C218" s="5441" t="s">
        <v>2320</v>
      </c>
      <c r="D218" s="5441" t="s">
        <v>2321</v>
      </c>
      <c r="E218" s="5441" t="s">
        <v>2322</v>
      </c>
      <c r="F218" s="5441" t="s">
        <v>2289</v>
      </c>
      <c r="G218" s="5441" t="s">
        <v>2323</v>
      </c>
      <c r="H218" s="5441" t="s">
        <v>28</v>
      </c>
      <c r="I218" s="5441" t="s">
        <v>855</v>
      </c>
    </row>
    <row customHeight="1" ht="11.25">
      <c r="A219" s="5441" t="s">
        <v>2251</v>
      </c>
      <c r="B219" s="5441" t="s">
        <v>16</v>
      </c>
      <c r="C219" s="5441" t="s">
        <v>2324</v>
      </c>
      <c r="D219" s="5441" t="s">
        <v>2325</v>
      </c>
      <c r="E219" s="5441" t="s">
        <v>2326</v>
      </c>
      <c r="F219" s="5441" t="s">
        <v>2281</v>
      </c>
      <c r="G219" s="5441" t="s">
        <v>28</v>
      </c>
      <c r="H219" s="5441" t="s">
        <v>28</v>
      </c>
      <c r="I219" s="5441" t="s">
        <v>855</v>
      </c>
    </row>
    <row customHeight="1" ht="11.25">
      <c r="A220" s="5441" t="s">
        <v>2251</v>
      </c>
      <c r="B220" s="5441" t="s">
        <v>16</v>
      </c>
      <c r="C220" s="5441" t="s">
        <v>2751</v>
      </c>
      <c r="D220" s="5441" t="s">
        <v>2752</v>
      </c>
      <c r="E220" s="5441" t="s">
        <v>2753</v>
      </c>
      <c r="F220" s="5441" t="s">
        <v>51</v>
      </c>
      <c r="G220" s="5441" t="s">
        <v>28</v>
      </c>
      <c r="H220" s="5441" t="s">
        <v>28</v>
      </c>
      <c r="I220" s="5441" t="s">
        <v>855</v>
      </c>
    </row>
    <row customHeight="1" ht="11.25">
      <c r="A221" s="5441" t="s">
        <v>2251</v>
      </c>
      <c r="B221" s="5441" t="s">
        <v>16</v>
      </c>
      <c r="C221" s="5441" t="s">
        <v>2754</v>
      </c>
      <c r="D221" s="5441" t="s">
        <v>2755</v>
      </c>
      <c r="E221" s="5441" t="s">
        <v>2756</v>
      </c>
      <c r="F221" s="5441" t="s">
        <v>2281</v>
      </c>
      <c r="G221" s="5441" t="s">
        <v>28</v>
      </c>
      <c r="H221" s="5441" t="s">
        <v>28</v>
      </c>
      <c r="I221" s="5441" t="s">
        <v>855</v>
      </c>
    </row>
    <row customHeight="1" ht="11.25">
      <c r="A222" s="5441" t="s">
        <v>2251</v>
      </c>
      <c r="B222" s="5441" t="s">
        <v>16</v>
      </c>
      <c r="C222" s="5441" t="s">
        <v>2342</v>
      </c>
      <c r="D222" s="5441" t="s">
        <v>2343</v>
      </c>
      <c r="E222" s="5441" t="s">
        <v>2344</v>
      </c>
      <c r="F222" s="5441" t="s">
        <v>2269</v>
      </c>
      <c r="G222" s="5441" t="s">
        <v>28</v>
      </c>
      <c r="H222" s="5441" t="s">
        <v>28</v>
      </c>
      <c r="I222" s="5441" t="s">
        <v>855</v>
      </c>
    </row>
    <row customHeight="1" ht="11.25">
      <c r="A223" s="5441" t="s">
        <v>2251</v>
      </c>
      <c r="B223" s="5441" t="s">
        <v>16</v>
      </c>
      <c r="C223" s="5441" t="s">
        <v>2345</v>
      </c>
      <c r="D223" s="5441" t="s">
        <v>2346</v>
      </c>
      <c r="E223" s="5441" t="s">
        <v>2347</v>
      </c>
      <c r="F223" s="5441" t="s">
        <v>51</v>
      </c>
      <c r="G223" s="5441" t="s">
        <v>28</v>
      </c>
      <c r="H223" s="5441" t="s">
        <v>28</v>
      </c>
      <c r="I223" s="5441" t="s">
        <v>855</v>
      </c>
    </row>
    <row customHeight="1" ht="11.25">
      <c r="A224" s="5441" t="s">
        <v>2251</v>
      </c>
      <c r="B224" s="5441" t="s">
        <v>16</v>
      </c>
      <c r="C224" s="5441" t="s">
        <v>2348</v>
      </c>
      <c r="D224" s="5441" t="s">
        <v>2349</v>
      </c>
      <c r="E224" s="5441" t="s">
        <v>2350</v>
      </c>
      <c r="F224" s="5441" t="s">
        <v>2333</v>
      </c>
      <c r="G224" s="5441" t="s">
        <v>28</v>
      </c>
      <c r="H224" s="5441" t="s">
        <v>28</v>
      </c>
      <c r="I224" s="5441" t="s">
        <v>855</v>
      </c>
    </row>
    <row customHeight="1" ht="11.25">
      <c r="A225" s="5441" t="s">
        <v>2251</v>
      </c>
      <c r="B225" s="5441" t="s">
        <v>16</v>
      </c>
      <c r="C225" s="5441" t="s">
        <v>2355</v>
      </c>
      <c r="D225" s="5441" t="s">
        <v>2356</v>
      </c>
      <c r="E225" s="5441" t="s">
        <v>2357</v>
      </c>
      <c r="F225" s="5441" t="s">
        <v>2358</v>
      </c>
      <c r="G225" s="5441" t="s">
        <v>28</v>
      </c>
      <c r="H225" s="5441" t="s">
        <v>28</v>
      </c>
      <c r="I225" s="5441" t="s">
        <v>855</v>
      </c>
    </row>
    <row customHeight="1" ht="11.25">
      <c r="A226" s="5441" t="s">
        <v>2251</v>
      </c>
      <c r="B226" s="5441" t="s">
        <v>16</v>
      </c>
      <c r="C226" s="5441" t="s">
        <v>2757</v>
      </c>
      <c r="D226" s="5441" t="s">
        <v>2758</v>
      </c>
      <c r="E226" s="5441" t="s">
        <v>2759</v>
      </c>
      <c r="F226" s="5441" t="s">
        <v>2277</v>
      </c>
      <c r="G226" s="5441" t="s">
        <v>28</v>
      </c>
      <c r="H226" s="5441" t="s">
        <v>28</v>
      </c>
      <c r="I226" s="5441" t="s">
        <v>855</v>
      </c>
    </row>
    <row customHeight="1" ht="11.25">
      <c r="A227" s="5441" t="s">
        <v>2251</v>
      </c>
      <c r="B227" s="5441" t="s">
        <v>16</v>
      </c>
      <c r="C227" s="5441" t="s">
        <v>2366</v>
      </c>
      <c r="D227" s="5441" t="s">
        <v>2367</v>
      </c>
      <c r="E227" s="5441" t="s">
        <v>2368</v>
      </c>
      <c r="F227" s="5441" t="s">
        <v>2369</v>
      </c>
      <c r="G227" s="5441" t="s">
        <v>28</v>
      </c>
      <c r="H227" s="5441" t="s">
        <v>28</v>
      </c>
      <c r="I227" s="5441" t="s">
        <v>855</v>
      </c>
    </row>
    <row customHeight="1" ht="11.25">
      <c r="A228" s="5441" t="s">
        <v>2251</v>
      </c>
      <c r="B228" s="5441" t="s">
        <v>16</v>
      </c>
      <c r="C228" s="5441" t="s">
        <v>2370</v>
      </c>
      <c r="D228" s="5441" t="s">
        <v>2371</v>
      </c>
      <c r="E228" s="5441" t="s">
        <v>2372</v>
      </c>
      <c r="F228" s="5441" t="s">
        <v>51</v>
      </c>
      <c r="G228" s="5441" t="s">
        <v>28</v>
      </c>
      <c r="H228" s="5441" t="s">
        <v>28</v>
      </c>
      <c r="I228" s="5441" t="s">
        <v>855</v>
      </c>
    </row>
    <row customHeight="1" ht="11.25">
      <c r="A229" s="5441" t="s">
        <v>2251</v>
      </c>
      <c r="B229" s="5441" t="s">
        <v>16</v>
      </c>
      <c r="C229" s="5441" t="s">
        <v>2373</v>
      </c>
      <c r="D229" s="5441" t="s">
        <v>2374</v>
      </c>
      <c r="E229" s="5441" t="s">
        <v>2375</v>
      </c>
      <c r="F229" s="5441" t="s">
        <v>2333</v>
      </c>
      <c r="G229" s="5441" t="s">
        <v>28</v>
      </c>
      <c r="H229" s="5441" t="s">
        <v>28</v>
      </c>
      <c r="I229" s="5441" t="s">
        <v>855</v>
      </c>
    </row>
    <row customHeight="1" ht="11.25">
      <c r="A230" s="5441" t="s">
        <v>2251</v>
      </c>
      <c r="B230" s="5441" t="s">
        <v>16</v>
      </c>
      <c r="C230" s="5441" t="s">
        <v>2376</v>
      </c>
      <c r="D230" s="5441" t="s">
        <v>2377</v>
      </c>
      <c r="E230" s="5441" t="s">
        <v>2378</v>
      </c>
      <c r="F230" s="5441" t="s">
        <v>2379</v>
      </c>
      <c r="G230" s="5441" t="s">
        <v>28</v>
      </c>
      <c r="H230" s="5441" t="s">
        <v>28</v>
      </c>
      <c r="I230" s="5441" t="s">
        <v>855</v>
      </c>
    </row>
    <row customHeight="1" ht="11.25">
      <c r="A231" s="5441" t="s">
        <v>2251</v>
      </c>
      <c r="B231" s="5441" t="s">
        <v>16</v>
      </c>
      <c r="C231" s="5441" t="s">
        <v>28</v>
      </c>
      <c r="D231" s="5441" t="s">
        <v>2380</v>
      </c>
      <c r="E231" s="5441" t="s">
        <v>2381</v>
      </c>
      <c r="F231" s="5441" t="s">
        <v>2312</v>
      </c>
      <c r="G231" s="5441" t="s">
        <v>28</v>
      </c>
      <c r="H231" s="5441" t="s">
        <v>28</v>
      </c>
      <c r="I231" s="5441" t="s">
        <v>855</v>
      </c>
    </row>
    <row customHeight="1" ht="11.25">
      <c r="A232" s="5441" t="s">
        <v>2251</v>
      </c>
      <c r="B232" s="5441" t="s">
        <v>16</v>
      </c>
      <c r="C232" s="5441" t="s">
        <v>2760</v>
      </c>
      <c r="D232" s="5441" t="s">
        <v>2761</v>
      </c>
      <c r="E232" s="5441" t="s">
        <v>2762</v>
      </c>
      <c r="F232" s="5441" t="s">
        <v>2369</v>
      </c>
      <c r="G232" s="5441" t="s">
        <v>2763</v>
      </c>
      <c r="H232" s="5441" t="s">
        <v>28</v>
      </c>
      <c r="I232" s="5441" t="s">
        <v>855</v>
      </c>
    </row>
    <row customHeight="1" ht="11.25">
      <c r="A233" s="5441" t="s">
        <v>2251</v>
      </c>
      <c r="B233" s="5441" t="s">
        <v>16</v>
      </c>
      <c r="C233" s="5441" t="s">
        <v>2764</v>
      </c>
      <c r="D233" s="5441" t="s">
        <v>2765</v>
      </c>
      <c r="E233" s="5441" t="s">
        <v>2766</v>
      </c>
      <c r="F233" s="5441" t="s">
        <v>2365</v>
      </c>
      <c r="G233" s="5441" t="s">
        <v>28</v>
      </c>
      <c r="H233" s="5441" t="s">
        <v>28</v>
      </c>
      <c r="I233" s="5441" t="s">
        <v>855</v>
      </c>
    </row>
    <row customHeight="1" ht="11.25">
      <c r="A234" s="5441" t="s">
        <v>2251</v>
      </c>
      <c r="B234" s="5441" t="s">
        <v>16</v>
      </c>
      <c r="C234" s="5441" t="s">
        <v>2767</v>
      </c>
      <c r="D234" s="5441" t="s">
        <v>2768</v>
      </c>
      <c r="E234" s="5441" t="s">
        <v>2769</v>
      </c>
      <c r="F234" s="5441" t="s">
        <v>2285</v>
      </c>
      <c r="G234" s="5441" t="s">
        <v>28</v>
      </c>
      <c r="H234" s="5441" t="s">
        <v>28</v>
      </c>
      <c r="I234" s="5441" t="s">
        <v>855</v>
      </c>
    </row>
    <row customHeight="1" ht="11.25">
      <c r="A235" s="5441" t="s">
        <v>2251</v>
      </c>
      <c r="B235" s="5441" t="s">
        <v>16</v>
      </c>
      <c r="C235" s="5441" t="s">
        <v>2389</v>
      </c>
      <c r="D235" s="5441" t="s">
        <v>2390</v>
      </c>
      <c r="E235" s="5441" t="s">
        <v>2391</v>
      </c>
      <c r="F235" s="5441" t="s">
        <v>2392</v>
      </c>
      <c r="G235" s="5441" t="s">
        <v>28</v>
      </c>
      <c r="H235" s="5441" t="s">
        <v>28</v>
      </c>
      <c r="I235" s="5441" t="s">
        <v>855</v>
      </c>
    </row>
    <row customHeight="1" ht="11.25">
      <c r="A236" s="5441" t="s">
        <v>2251</v>
      </c>
      <c r="B236" s="5441" t="s">
        <v>16</v>
      </c>
      <c r="C236" s="5441" t="s">
        <v>2393</v>
      </c>
      <c r="D236" s="5441" t="s">
        <v>2394</v>
      </c>
      <c r="E236" s="5441" t="s">
        <v>2395</v>
      </c>
      <c r="F236" s="5441" t="s">
        <v>2396</v>
      </c>
      <c r="G236" s="5441" t="s">
        <v>28</v>
      </c>
      <c r="H236" s="5441" t="s">
        <v>28</v>
      </c>
      <c r="I236" s="5441" t="s">
        <v>855</v>
      </c>
    </row>
    <row customHeight="1" ht="11.25">
      <c r="A237" s="5441" t="s">
        <v>2251</v>
      </c>
      <c r="B237" s="5441" t="s">
        <v>16</v>
      </c>
      <c r="C237" s="5441" t="s">
        <v>2770</v>
      </c>
      <c r="D237" s="5441" t="s">
        <v>2771</v>
      </c>
      <c r="E237" s="5441" t="s">
        <v>2772</v>
      </c>
      <c r="F237" s="5441" t="s">
        <v>2285</v>
      </c>
      <c r="G237" s="5441" t="s">
        <v>2773</v>
      </c>
      <c r="H237" s="5441" t="s">
        <v>28</v>
      </c>
      <c r="I237" s="5441" t="s">
        <v>855</v>
      </c>
    </row>
    <row customHeight="1" ht="11.25">
      <c r="A238" s="5441" t="s">
        <v>2251</v>
      </c>
      <c r="B238" s="5441" t="s">
        <v>16</v>
      </c>
      <c r="C238" s="5441" t="s">
        <v>2774</v>
      </c>
      <c r="D238" s="5441" t="s">
        <v>2775</v>
      </c>
      <c r="E238" s="5441" t="s">
        <v>2776</v>
      </c>
      <c r="F238" s="5441" t="s">
        <v>2369</v>
      </c>
      <c r="G238" s="5441" t="s">
        <v>2777</v>
      </c>
      <c r="H238" s="5441" t="s">
        <v>28</v>
      </c>
      <c r="I238" s="5441" t="s">
        <v>855</v>
      </c>
    </row>
    <row customHeight="1" ht="11.25">
      <c r="A239" s="5441" t="s">
        <v>2251</v>
      </c>
      <c r="B239" s="5441" t="s">
        <v>16</v>
      </c>
      <c r="C239" s="5441" t="s">
        <v>2401</v>
      </c>
      <c r="D239" s="5441" t="s">
        <v>2402</v>
      </c>
      <c r="E239" s="5441" t="s">
        <v>2403</v>
      </c>
      <c r="F239" s="5441" t="s">
        <v>2404</v>
      </c>
      <c r="G239" s="5441" t="s">
        <v>28</v>
      </c>
      <c r="H239" s="5441" t="s">
        <v>28</v>
      </c>
      <c r="I239" s="5441" t="s">
        <v>855</v>
      </c>
    </row>
    <row customHeight="1" ht="11.25">
      <c r="A240" s="5441" t="s">
        <v>2251</v>
      </c>
      <c r="B240" s="5441" t="s">
        <v>16</v>
      </c>
      <c r="C240" s="5441" t="s">
        <v>2778</v>
      </c>
      <c r="D240" s="5441" t="s">
        <v>2779</v>
      </c>
      <c r="E240" s="5441" t="s">
        <v>2780</v>
      </c>
      <c r="F240" s="5441" t="s">
        <v>2285</v>
      </c>
      <c r="G240" s="5441" t="s">
        <v>28</v>
      </c>
      <c r="H240" s="5441" t="s">
        <v>28</v>
      </c>
      <c r="I240" s="5441" t="s">
        <v>855</v>
      </c>
    </row>
    <row customHeight="1" ht="11.25">
      <c r="A241" s="5441" t="s">
        <v>2251</v>
      </c>
      <c r="B241" s="5441" t="s">
        <v>16</v>
      </c>
      <c r="C241" s="5441" t="s">
        <v>2416</v>
      </c>
      <c r="D241" s="5441" t="s">
        <v>2417</v>
      </c>
      <c r="E241" s="5441" t="s">
        <v>2418</v>
      </c>
      <c r="F241" s="5441" t="s">
        <v>2285</v>
      </c>
      <c r="G241" s="5441" t="s">
        <v>28</v>
      </c>
      <c r="H241" s="5441" t="s">
        <v>28</v>
      </c>
      <c r="I241" s="5441" t="s">
        <v>855</v>
      </c>
    </row>
    <row customHeight="1" ht="11.25">
      <c r="A242" s="5441" t="s">
        <v>2251</v>
      </c>
      <c r="B242" s="5441" t="s">
        <v>16</v>
      </c>
      <c r="C242" s="5441" t="s">
        <v>2426</v>
      </c>
      <c r="D242" s="5441" t="s">
        <v>2427</v>
      </c>
      <c r="E242" s="5441" t="s">
        <v>2428</v>
      </c>
      <c r="F242" s="5441" t="s">
        <v>2365</v>
      </c>
      <c r="G242" s="5441" t="s">
        <v>28</v>
      </c>
      <c r="H242" s="5441" t="s">
        <v>28</v>
      </c>
      <c r="I242" s="5441" t="s">
        <v>855</v>
      </c>
    </row>
    <row customHeight="1" ht="11.25">
      <c r="A243" s="5441" t="s">
        <v>2251</v>
      </c>
      <c r="B243" s="5441" t="s">
        <v>16</v>
      </c>
      <c r="C243" s="5441" t="s">
        <v>2429</v>
      </c>
      <c r="D243" s="5441" t="s">
        <v>2430</v>
      </c>
      <c r="E243" s="5441" t="s">
        <v>2431</v>
      </c>
      <c r="F243" s="5441" t="s">
        <v>2408</v>
      </c>
      <c r="G243" s="5441" t="s">
        <v>28</v>
      </c>
      <c r="H243" s="5441" t="s">
        <v>28</v>
      </c>
      <c r="I243" s="5441" t="s">
        <v>855</v>
      </c>
    </row>
    <row customHeight="1" ht="11.25">
      <c r="A244" s="5441" t="s">
        <v>2251</v>
      </c>
      <c r="B244" s="5441" t="s">
        <v>16</v>
      </c>
      <c r="C244" s="5441" t="s">
        <v>2436</v>
      </c>
      <c r="D244" s="5441" t="s">
        <v>2437</v>
      </c>
      <c r="E244" s="5441" t="s">
        <v>2438</v>
      </c>
      <c r="F244" s="5441" t="s">
        <v>2439</v>
      </c>
      <c r="G244" s="5441" t="s">
        <v>28</v>
      </c>
      <c r="H244" s="5441" t="s">
        <v>28</v>
      </c>
      <c r="I244" s="5441" t="s">
        <v>855</v>
      </c>
    </row>
    <row customHeight="1" ht="11.25">
      <c r="A245" s="5441" t="s">
        <v>2251</v>
      </c>
      <c r="B245" s="5441" t="s">
        <v>16</v>
      </c>
      <c r="C245" s="5441" t="s">
        <v>2440</v>
      </c>
      <c r="D245" s="5441" t="s">
        <v>2441</v>
      </c>
      <c r="E245" s="5441" t="s">
        <v>2442</v>
      </c>
      <c r="F245" s="5441" t="s">
        <v>2365</v>
      </c>
      <c r="G245" s="5441" t="s">
        <v>28</v>
      </c>
      <c r="H245" s="5441" t="s">
        <v>28</v>
      </c>
      <c r="I245" s="5441" t="s">
        <v>855</v>
      </c>
    </row>
    <row customHeight="1" ht="11.25">
      <c r="A246" s="5441" t="s">
        <v>2251</v>
      </c>
      <c r="B246" s="5441" t="s">
        <v>16</v>
      </c>
      <c r="C246" s="5441" t="s">
        <v>2446</v>
      </c>
      <c r="D246" s="5441" t="s">
        <v>2447</v>
      </c>
      <c r="E246" s="5441" t="s">
        <v>2448</v>
      </c>
      <c r="F246" s="5441" t="s">
        <v>51</v>
      </c>
      <c r="G246" s="5441" t="s">
        <v>28</v>
      </c>
      <c r="H246" s="5441" t="s">
        <v>28</v>
      </c>
      <c r="I246" s="5441" t="s">
        <v>855</v>
      </c>
    </row>
    <row customHeight="1" ht="11.25">
      <c r="A247" s="5441" t="s">
        <v>2251</v>
      </c>
      <c r="B247" s="5441" t="s">
        <v>16</v>
      </c>
      <c r="C247" s="5441" t="s">
        <v>2453</v>
      </c>
      <c r="D247" s="5441" t="s">
        <v>2454</v>
      </c>
      <c r="E247" s="5441" t="s">
        <v>2455</v>
      </c>
      <c r="F247" s="5441" t="s">
        <v>2316</v>
      </c>
      <c r="G247" s="5441" t="s">
        <v>28</v>
      </c>
      <c r="H247" s="5441" t="s">
        <v>28</v>
      </c>
      <c r="I247" s="5441" t="s">
        <v>855</v>
      </c>
    </row>
    <row customHeight="1" ht="11.25">
      <c r="A248" s="5441" t="s">
        <v>2251</v>
      </c>
      <c r="B248" s="5441" t="s">
        <v>16</v>
      </c>
      <c r="C248" s="5441" t="s">
        <v>2459</v>
      </c>
      <c r="D248" s="5441" t="s">
        <v>2460</v>
      </c>
      <c r="E248" s="5441" t="s">
        <v>2461</v>
      </c>
      <c r="F248" s="5441" t="s">
        <v>2369</v>
      </c>
      <c r="G248" s="5441" t="s">
        <v>28</v>
      </c>
      <c r="H248" s="5441" t="s">
        <v>28</v>
      </c>
      <c r="I248" s="5441" t="s">
        <v>855</v>
      </c>
    </row>
    <row customHeight="1" ht="11.25">
      <c r="A249" s="5441" t="s">
        <v>2251</v>
      </c>
      <c r="B249" s="5441" t="s">
        <v>16</v>
      </c>
      <c r="C249" s="5441" t="s">
        <v>2465</v>
      </c>
      <c r="D249" s="5441" t="s">
        <v>2466</v>
      </c>
      <c r="E249" s="5441" t="s">
        <v>2467</v>
      </c>
      <c r="F249" s="5441" t="s">
        <v>2281</v>
      </c>
      <c r="G249" s="5441" t="s">
        <v>28</v>
      </c>
      <c r="H249" s="5441" t="s">
        <v>28</v>
      </c>
      <c r="I249" s="5441" t="s">
        <v>855</v>
      </c>
    </row>
    <row customHeight="1" ht="11.25">
      <c r="A250" s="5441" t="s">
        <v>2251</v>
      </c>
      <c r="B250" s="5441" t="s">
        <v>16</v>
      </c>
      <c r="C250" s="5441" t="s">
        <v>2781</v>
      </c>
      <c r="D250" s="5441" t="s">
        <v>2782</v>
      </c>
      <c r="E250" s="5441" t="s">
        <v>2783</v>
      </c>
      <c r="F250" s="5441" t="s">
        <v>2365</v>
      </c>
      <c r="G250" s="5441" t="s">
        <v>28</v>
      </c>
      <c r="H250" s="5441" t="s">
        <v>28</v>
      </c>
      <c r="I250" s="5441" t="s">
        <v>855</v>
      </c>
    </row>
    <row customHeight="1" ht="11.25">
      <c r="A251" s="5441" t="s">
        <v>2251</v>
      </c>
      <c r="B251" s="5441" t="s">
        <v>16</v>
      </c>
      <c r="C251" s="5441" t="s">
        <v>2468</v>
      </c>
      <c r="D251" s="5441" t="s">
        <v>2469</v>
      </c>
      <c r="E251" s="5441" t="s">
        <v>2470</v>
      </c>
      <c r="F251" s="5441" t="s">
        <v>2277</v>
      </c>
      <c r="G251" s="5441" t="s">
        <v>28</v>
      </c>
      <c r="H251" s="5441" t="s">
        <v>28</v>
      </c>
      <c r="I251" s="5441" t="s">
        <v>855</v>
      </c>
    </row>
    <row customHeight="1" ht="11.25">
      <c r="A252" s="5441" t="s">
        <v>2251</v>
      </c>
      <c r="B252" s="5441" t="s">
        <v>16</v>
      </c>
      <c r="C252" s="5441" t="s">
        <v>2784</v>
      </c>
      <c r="D252" s="5441" t="s">
        <v>2785</v>
      </c>
      <c r="E252" s="5441" t="s">
        <v>2786</v>
      </c>
      <c r="F252" s="5441" t="s">
        <v>51</v>
      </c>
      <c r="G252" s="5441" t="s">
        <v>2787</v>
      </c>
      <c r="H252" s="5441" t="s">
        <v>28</v>
      </c>
      <c r="I252" s="5441" t="s">
        <v>855</v>
      </c>
    </row>
    <row customHeight="1" ht="11.25">
      <c r="A253" s="5441" t="s">
        <v>2251</v>
      </c>
      <c r="B253" s="5441" t="s">
        <v>16</v>
      </c>
      <c r="C253" s="5441" t="s">
        <v>2474</v>
      </c>
      <c r="D253" s="5441" t="s">
        <v>2475</v>
      </c>
      <c r="E253" s="5441" t="s">
        <v>2476</v>
      </c>
      <c r="F253" s="5441" t="s">
        <v>2369</v>
      </c>
      <c r="G253" s="5441" t="s">
        <v>28</v>
      </c>
      <c r="H253" s="5441" t="s">
        <v>28</v>
      </c>
      <c r="I253" s="5441" t="s">
        <v>855</v>
      </c>
    </row>
    <row customHeight="1" ht="11.25">
      <c r="A254" s="5441" t="s">
        <v>2251</v>
      </c>
      <c r="B254" s="5441" t="s">
        <v>16</v>
      </c>
      <c r="C254" s="5441" t="s">
        <v>2788</v>
      </c>
      <c r="D254" s="5441" t="s">
        <v>2789</v>
      </c>
      <c r="E254" s="5441" t="s">
        <v>2790</v>
      </c>
      <c r="F254" s="5441" t="s">
        <v>2358</v>
      </c>
      <c r="G254" s="5441" t="s">
        <v>28</v>
      </c>
      <c r="H254" s="5441" t="s">
        <v>28</v>
      </c>
      <c r="I254" s="5441" t="s">
        <v>855</v>
      </c>
    </row>
    <row customHeight="1" ht="11.25">
      <c r="A255" s="5441" t="s">
        <v>2251</v>
      </c>
      <c r="B255" s="5441" t="s">
        <v>16</v>
      </c>
      <c r="C255" s="5441" t="s">
        <v>2791</v>
      </c>
      <c r="D255" s="5441" t="s">
        <v>2792</v>
      </c>
      <c r="E255" s="5441" t="s">
        <v>2793</v>
      </c>
      <c r="F255" s="5441" t="s">
        <v>2408</v>
      </c>
      <c r="G255" s="5441" t="s">
        <v>28</v>
      </c>
      <c r="H255" s="5441" t="s">
        <v>28</v>
      </c>
      <c r="I255" s="5441" t="s">
        <v>855</v>
      </c>
    </row>
    <row customHeight="1" ht="11.25">
      <c r="A256" s="5441" t="s">
        <v>2251</v>
      </c>
      <c r="B256" s="5441" t="s">
        <v>16</v>
      </c>
      <c r="C256" s="5441" t="s">
        <v>2794</v>
      </c>
      <c r="D256" s="5441" t="s">
        <v>2795</v>
      </c>
      <c r="E256" s="5441" t="s">
        <v>2796</v>
      </c>
      <c r="F256" s="5441" t="s">
        <v>51</v>
      </c>
      <c r="G256" s="5441" t="s">
        <v>2797</v>
      </c>
      <c r="H256" s="5441" t="s">
        <v>28</v>
      </c>
      <c r="I256" s="5441" t="s">
        <v>855</v>
      </c>
    </row>
    <row customHeight="1" ht="11.25">
      <c r="A257" s="5441" t="s">
        <v>2251</v>
      </c>
      <c r="B257" s="5441" t="s">
        <v>16</v>
      </c>
      <c r="C257" s="5441" t="s">
        <v>2798</v>
      </c>
      <c r="D257" s="5441" t="s">
        <v>2799</v>
      </c>
      <c r="E257" s="5441" t="s">
        <v>2800</v>
      </c>
      <c r="F257" s="5441" t="s">
        <v>2333</v>
      </c>
      <c r="G257" s="5441" t="s">
        <v>2801</v>
      </c>
      <c r="H257" s="5441" t="s">
        <v>28</v>
      </c>
      <c r="I257" s="5441" t="s">
        <v>855</v>
      </c>
    </row>
    <row customHeight="1" ht="11.25">
      <c r="A258" s="5441" t="s">
        <v>2251</v>
      </c>
      <c r="B258" s="5441" t="s">
        <v>16</v>
      </c>
      <c r="C258" s="5441" t="s">
        <v>2513</v>
      </c>
      <c r="D258" s="5441" t="s">
        <v>2514</v>
      </c>
      <c r="E258" s="5441" t="s">
        <v>2515</v>
      </c>
      <c r="F258" s="5441" t="s">
        <v>2369</v>
      </c>
      <c r="G258" s="5441" t="s">
        <v>2516</v>
      </c>
      <c r="H258" s="5441" t="s">
        <v>28</v>
      </c>
      <c r="I258" s="5441" t="s">
        <v>855</v>
      </c>
    </row>
    <row customHeight="1" ht="11.25">
      <c r="A259" s="5441" t="s">
        <v>2251</v>
      </c>
      <c r="B259" s="5441" t="s">
        <v>16</v>
      </c>
      <c r="C259" s="5441" t="s">
        <v>2802</v>
      </c>
      <c r="D259" s="5441" t="s">
        <v>2803</v>
      </c>
      <c r="E259" s="5441" t="s">
        <v>2804</v>
      </c>
      <c r="F259" s="5441" t="s">
        <v>2333</v>
      </c>
      <c r="G259" s="5441" t="s">
        <v>28</v>
      </c>
      <c r="H259" s="5441" t="s">
        <v>28</v>
      </c>
      <c r="I259" s="5441" t="s">
        <v>855</v>
      </c>
    </row>
    <row customHeight="1" ht="11.25">
      <c r="A260" s="5441" t="s">
        <v>2251</v>
      </c>
      <c r="B260" s="5441" t="s">
        <v>16</v>
      </c>
      <c r="C260" s="5441" t="s">
        <v>2805</v>
      </c>
      <c r="D260" s="5441" t="s">
        <v>2806</v>
      </c>
      <c r="E260" s="5441" t="s">
        <v>2807</v>
      </c>
      <c r="F260" s="5441" t="s">
        <v>2808</v>
      </c>
      <c r="G260" s="5441" t="s">
        <v>28</v>
      </c>
      <c r="H260" s="5441" t="s">
        <v>28</v>
      </c>
      <c r="I260" s="5441" t="s">
        <v>855</v>
      </c>
    </row>
    <row customHeight="1" ht="11.25">
      <c r="A261" s="5441" t="s">
        <v>2251</v>
      </c>
      <c r="B261" s="5441" t="s">
        <v>16</v>
      </c>
      <c r="C261" s="5441" t="s">
        <v>2554</v>
      </c>
      <c r="D261" s="5441" t="s">
        <v>2555</v>
      </c>
      <c r="E261" s="5441" t="s">
        <v>2556</v>
      </c>
      <c r="F261" s="5441" t="s">
        <v>2557</v>
      </c>
      <c r="G261" s="5441" t="s">
        <v>28</v>
      </c>
      <c r="H261" s="5441" t="s">
        <v>28</v>
      </c>
      <c r="I261" s="5441" t="s">
        <v>855</v>
      </c>
    </row>
    <row customHeight="1" ht="11.25">
      <c r="A262" s="5441" t="s">
        <v>2251</v>
      </c>
      <c r="B262" s="5441" t="s">
        <v>16</v>
      </c>
      <c r="C262" s="5441" t="s">
        <v>2809</v>
      </c>
      <c r="D262" s="5441" t="s">
        <v>2810</v>
      </c>
      <c r="E262" s="5441" t="s">
        <v>2811</v>
      </c>
      <c r="F262" s="5441" t="s">
        <v>2269</v>
      </c>
      <c r="G262" s="5441" t="s">
        <v>28</v>
      </c>
      <c r="H262" s="5441" t="s">
        <v>28</v>
      </c>
      <c r="I262" s="5441" t="s">
        <v>855</v>
      </c>
    </row>
    <row customHeight="1" ht="11.25">
      <c r="A263" s="5441" t="s">
        <v>2251</v>
      </c>
      <c r="B263" s="5441" t="s">
        <v>16</v>
      </c>
      <c r="C263" s="5441" t="s">
        <v>2812</v>
      </c>
      <c r="D263" s="5441" t="s">
        <v>2813</v>
      </c>
      <c r="E263" s="5441" t="s">
        <v>2814</v>
      </c>
      <c r="F263" s="5441" t="s">
        <v>2273</v>
      </c>
      <c r="G263" s="5441" t="s">
        <v>28</v>
      </c>
      <c r="H263" s="5441" t="s">
        <v>28</v>
      </c>
      <c r="I263" s="5441" t="s">
        <v>855</v>
      </c>
    </row>
    <row customHeight="1" ht="11.25">
      <c r="A264" s="5441" t="s">
        <v>2251</v>
      </c>
      <c r="B264" s="5441" t="s">
        <v>16</v>
      </c>
      <c r="C264" s="5441" t="s">
        <v>2582</v>
      </c>
      <c r="D264" s="5441" t="s">
        <v>2583</v>
      </c>
      <c r="E264" s="5441" t="s">
        <v>2584</v>
      </c>
      <c r="F264" s="5441" t="s">
        <v>2365</v>
      </c>
      <c r="G264" s="5441" t="s">
        <v>28</v>
      </c>
      <c r="H264" s="5441" t="s">
        <v>28</v>
      </c>
      <c r="I264" s="5441" t="s">
        <v>855</v>
      </c>
    </row>
    <row customHeight="1" ht="11.25">
      <c r="A265" s="5441" t="s">
        <v>2251</v>
      </c>
      <c r="B265" s="5441" t="s">
        <v>16</v>
      </c>
      <c r="C265" s="5441" t="s">
        <v>2815</v>
      </c>
      <c r="D265" s="5441" t="s">
        <v>2816</v>
      </c>
      <c r="E265" s="5441" t="s">
        <v>2817</v>
      </c>
      <c r="F265" s="5441" t="s">
        <v>2408</v>
      </c>
      <c r="G265" s="5441" t="s">
        <v>28</v>
      </c>
      <c r="H265" s="5441" t="s">
        <v>28</v>
      </c>
      <c r="I265" s="5441" t="s">
        <v>855</v>
      </c>
    </row>
    <row customHeight="1" ht="11.25">
      <c r="A266" s="5441" t="s">
        <v>2251</v>
      </c>
      <c r="B266" s="5441" t="s">
        <v>16</v>
      </c>
      <c r="C266" s="5441" t="s">
        <v>2818</v>
      </c>
      <c r="D266" s="5441" t="s">
        <v>2819</v>
      </c>
      <c r="E266" s="5441" t="s">
        <v>2820</v>
      </c>
      <c r="F266" s="5441" t="s">
        <v>2316</v>
      </c>
      <c r="G266" s="5441" t="s">
        <v>2821</v>
      </c>
      <c r="H266" s="5441" t="s">
        <v>28</v>
      </c>
      <c r="I266" s="5441" t="s">
        <v>855</v>
      </c>
    </row>
    <row customHeight="1" ht="11.25">
      <c r="A267" s="5441" t="s">
        <v>2251</v>
      </c>
      <c r="B267" s="5441" t="s">
        <v>16</v>
      </c>
      <c r="C267" s="5441" t="s">
        <v>2600</v>
      </c>
      <c r="D267" s="5441" t="s">
        <v>2601</v>
      </c>
      <c r="E267" s="5441" t="s">
        <v>2602</v>
      </c>
      <c r="F267" s="5441" t="s">
        <v>2369</v>
      </c>
      <c r="G267" s="5441" t="s">
        <v>2603</v>
      </c>
      <c r="H267" s="5441" t="s">
        <v>28</v>
      </c>
      <c r="I267" s="5441" t="s">
        <v>855</v>
      </c>
    </row>
    <row customHeight="1" ht="11.25">
      <c r="A268" s="5441" t="s">
        <v>2251</v>
      </c>
      <c r="B268" s="5441" t="s">
        <v>16</v>
      </c>
      <c r="C268" s="5441" t="s">
        <v>2822</v>
      </c>
      <c r="D268" s="5441" t="s">
        <v>2823</v>
      </c>
      <c r="E268" s="5441" t="s">
        <v>2824</v>
      </c>
      <c r="F268" s="5441" t="s">
        <v>2825</v>
      </c>
      <c r="G268" s="5441" t="s">
        <v>28</v>
      </c>
      <c r="H268" s="5441" t="s">
        <v>28</v>
      </c>
      <c r="I268" s="5441" t="s">
        <v>855</v>
      </c>
    </row>
    <row customHeight="1" ht="11.25">
      <c r="A269" s="5441" t="s">
        <v>2251</v>
      </c>
      <c r="B269" s="5441" t="s">
        <v>16</v>
      </c>
      <c r="C269" s="5441" t="s">
        <v>2826</v>
      </c>
      <c r="D269" s="5441" t="s">
        <v>2827</v>
      </c>
      <c r="E269" s="5441" t="s">
        <v>2828</v>
      </c>
      <c r="F269" s="5441" t="s">
        <v>2408</v>
      </c>
      <c r="G269" s="5441" t="s">
        <v>2829</v>
      </c>
      <c r="H269" s="5441" t="s">
        <v>28</v>
      </c>
      <c r="I269" s="5441" t="s">
        <v>855</v>
      </c>
    </row>
    <row customHeight="1" ht="11.25">
      <c r="A270" s="5441" t="s">
        <v>2251</v>
      </c>
      <c r="B270" s="5441" t="s">
        <v>16</v>
      </c>
      <c r="C270" s="5441" t="s">
        <v>2630</v>
      </c>
      <c r="D270" s="5441" t="s">
        <v>2631</v>
      </c>
      <c r="E270" s="5441" t="s">
        <v>2632</v>
      </c>
      <c r="F270" s="5441" t="s">
        <v>2316</v>
      </c>
      <c r="G270" s="5441" t="s">
        <v>28</v>
      </c>
      <c r="H270" s="5441" t="s">
        <v>28</v>
      </c>
      <c r="I270" s="5441" t="s">
        <v>855</v>
      </c>
    </row>
    <row customHeight="1" ht="11.25">
      <c r="A271" s="5441" t="s">
        <v>2251</v>
      </c>
      <c r="B271" s="5441" t="s">
        <v>16</v>
      </c>
      <c r="C271" s="5441" t="s">
        <v>2633</v>
      </c>
      <c r="D271" s="5441" t="s">
        <v>2634</v>
      </c>
      <c r="E271" s="5441" t="s">
        <v>2635</v>
      </c>
      <c r="F271" s="5441" t="s">
        <v>2408</v>
      </c>
      <c r="G271" s="5441" t="s">
        <v>2636</v>
      </c>
      <c r="H271" s="5441" t="s">
        <v>28</v>
      </c>
      <c r="I271" s="5441" t="s">
        <v>855</v>
      </c>
    </row>
    <row customHeight="1" ht="11.25">
      <c r="A272" s="5441" t="s">
        <v>2251</v>
      </c>
      <c r="B272" s="5441" t="s">
        <v>16</v>
      </c>
      <c r="C272" s="5441" t="s">
        <v>2830</v>
      </c>
      <c r="D272" s="5441" t="s">
        <v>2831</v>
      </c>
      <c r="E272" s="5441" t="s">
        <v>2832</v>
      </c>
      <c r="F272" s="5441" t="s">
        <v>2369</v>
      </c>
      <c r="G272" s="5441" t="s">
        <v>28</v>
      </c>
      <c r="H272" s="5441" t="s">
        <v>28</v>
      </c>
      <c r="I272" s="5441" t="s">
        <v>855</v>
      </c>
    </row>
    <row customHeight="1" ht="11.25">
      <c r="A273" s="5441" t="s">
        <v>2251</v>
      </c>
      <c r="B273" s="5441" t="s">
        <v>16</v>
      </c>
      <c r="C273" s="5441" t="s">
        <v>2833</v>
      </c>
      <c r="D273" s="5441" t="s">
        <v>2834</v>
      </c>
      <c r="E273" s="5441" t="s">
        <v>2835</v>
      </c>
      <c r="F273" s="5441" t="s">
        <v>2316</v>
      </c>
      <c r="G273" s="5441" t="s">
        <v>2836</v>
      </c>
      <c r="H273" s="5441" t="s">
        <v>28</v>
      </c>
      <c r="I273" s="5441" t="s">
        <v>855</v>
      </c>
    </row>
    <row customHeight="1" ht="11.25">
      <c r="A274" s="5441" t="s">
        <v>2251</v>
      </c>
      <c r="B274" s="5441" t="s">
        <v>16</v>
      </c>
      <c r="C274" s="5441" t="s">
        <v>2837</v>
      </c>
      <c r="D274" s="5441" t="s">
        <v>2838</v>
      </c>
      <c r="E274" s="5441" t="s">
        <v>2839</v>
      </c>
      <c r="F274" s="5441" t="s">
        <v>51</v>
      </c>
      <c r="G274" s="5441" t="s">
        <v>2840</v>
      </c>
      <c r="H274" s="5441" t="s">
        <v>28</v>
      </c>
      <c r="I274" s="5441" t="s">
        <v>855</v>
      </c>
    </row>
    <row customHeight="1" ht="11.25">
      <c r="A275" s="5441" t="s">
        <v>2251</v>
      </c>
      <c r="B275" s="5441" t="s">
        <v>16</v>
      </c>
      <c r="C275" s="5441" t="s">
        <v>2663</v>
      </c>
      <c r="D275" s="5441" t="s">
        <v>2664</v>
      </c>
      <c r="E275" s="5441" t="s">
        <v>2665</v>
      </c>
      <c r="F275" s="5441" t="s">
        <v>2408</v>
      </c>
      <c r="G275" s="5441" t="s">
        <v>28</v>
      </c>
      <c r="H275" s="5441" t="s">
        <v>28</v>
      </c>
      <c r="I275" s="5441" t="s">
        <v>855</v>
      </c>
    </row>
    <row customHeight="1" ht="11.25">
      <c r="A276" s="5441" t="s">
        <v>2251</v>
      </c>
      <c r="B276" s="5441" t="s">
        <v>16</v>
      </c>
      <c r="C276" s="5441" t="s">
        <v>2669</v>
      </c>
      <c r="D276" s="5441" t="s">
        <v>2670</v>
      </c>
      <c r="E276" s="5441" t="s">
        <v>2671</v>
      </c>
      <c r="F276" s="5441" t="s">
        <v>2289</v>
      </c>
      <c r="G276" s="5441" t="s">
        <v>28</v>
      </c>
      <c r="H276" s="5441" t="s">
        <v>28</v>
      </c>
      <c r="I276" s="5441" t="s">
        <v>855</v>
      </c>
    </row>
    <row customHeight="1" ht="11.25">
      <c r="A277" s="5441" t="s">
        <v>2251</v>
      </c>
      <c r="B277" s="5441" t="s">
        <v>16</v>
      </c>
      <c r="C277" s="5441" t="s">
        <v>2672</v>
      </c>
      <c r="D277" s="5441" t="s">
        <v>2670</v>
      </c>
      <c r="E277" s="5441" t="s">
        <v>2671</v>
      </c>
      <c r="F277" s="5441" t="s">
        <v>2369</v>
      </c>
      <c r="G277" s="5441" t="s">
        <v>2673</v>
      </c>
      <c r="H277" s="5441" t="s">
        <v>28</v>
      </c>
      <c r="I277" s="5441" t="s">
        <v>855</v>
      </c>
    </row>
    <row customHeight="1" ht="11.25">
      <c r="A278" s="5441" t="s">
        <v>2251</v>
      </c>
      <c r="B278" s="5441" t="s">
        <v>16</v>
      </c>
      <c r="C278" s="5441" t="s">
        <v>2841</v>
      </c>
      <c r="D278" s="5441" t="s">
        <v>2842</v>
      </c>
      <c r="E278" s="5441" t="s">
        <v>2843</v>
      </c>
      <c r="F278" s="5441" t="s">
        <v>2844</v>
      </c>
      <c r="G278" s="5441" t="s">
        <v>2845</v>
      </c>
      <c r="H278" s="5441" t="s">
        <v>28</v>
      </c>
      <c r="I278" s="5441" t="s">
        <v>855</v>
      </c>
    </row>
    <row customHeight="1" ht="11.25">
      <c r="A279" s="5441" t="s">
        <v>2251</v>
      </c>
      <c r="B279" s="5441" t="s">
        <v>16</v>
      </c>
      <c r="C279" s="5441" t="s">
        <v>2846</v>
      </c>
      <c r="D279" s="5441" t="s">
        <v>2847</v>
      </c>
      <c r="E279" s="5441" t="s">
        <v>2263</v>
      </c>
      <c r="F279" s="5441" t="s">
        <v>2848</v>
      </c>
      <c r="G279" s="5441" t="s">
        <v>28</v>
      </c>
      <c r="H279" s="5441" t="s">
        <v>28</v>
      </c>
      <c r="I279" s="5441" t="s">
        <v>855</v>
      </c>
    </row>
    <row customHeight="1" ht="11.25">
      <c r="A280" s="5441" t="s">
        <v>2251</v>
      </c>
      <c r="B280" s="5441" t="s">
        <v>16</v>
      </c>
      <c r="C280" s="5441" t="s">
        <v>2849</v>
      </c>
      <c r="D280" s="5441" t="s">
        <v>2850</v>
      </c>
      <c r="E280" s="5441" t="s">
        <v>2851</v>
      </c>
      <c r="F280" s="5441" t="s">
        <v>2852</v>
      </c>
      <c r="G280" s="5441" t="s">
        <v>28</v>
      </c>
      <c r="H280" s="5441" t="s">
        <v>28</v>
      </c>
      <c r="I280" s="5441" t="s">
        <v>855</v>
      </c>
    </row>
    <row customHeight="1" ht="11.25">
      <c r="A281" s="5441" t="s">
        <v>2251</v>
      </c>
      <c r="B281" s="5441" t="s">
        <v>16</v>
      </c>
      <c r="C281" s="5441" t="s">
        <v>2678</v>
      </c>
      <c r="D281" s="5441" t="s">
        <v>2679</v>
      </c>
      <c r="E281" s="5441" t="s">
        <v>2680</v>
      </c>
      <c r="F281" s="5441" t="s">
        <v>2277</v>
      </c>
      <c r="G281" s="5441" t="s">
        <v>28</v>
      </c>
      <c r="H281" s="5441" t="s">
        <v>28</v>
      </c>
      <c r="I281" s="5441" t="s">
        <v>855</v>
      </c>
    </row>
    <row customHeight="1" ht="11.25">
      <c r="A282" s="5441" t="s">
        <v>2251</v>
      </c>
      <c r="B282" s="5441" t="s">
        <v>16</v>
      </c>
      <c r="C282" s="5441" t="s">
        <v>2684</v>
      </c>
      <c r="D282" s="5441" t="s">
        <v>2685</v>
      </c>
      <c r="E282" s="5441" t="s">
        <v>2686</v>
      </c>
      <c r="F282" s="5441" t="s">
        <v>2277</v>
      </c>
      <c r="G282" s="5441" t="s">
        <v>28</v>
      </c>
      <c r="H282" s="5441" t="s">
        <v>28</v>
      </c>
      <c r="I282" s="5441" t="s">
        <v>855</v>
      </c>
    </row>
    <row customHeight="1" ht="11.25">
      <c r="A283" s="5441" t="s">
        <v>2251</v>
      </c>
      <c r="B283" s="5441" t="s">
        <v>16</v>
      </c>
      <c r="C283" s="5441" t="s">
        <v>2853</v>
      </c>
      <c r="D283" s="5441" t="s">
        <v>2854</v>
      </c>
      <c r="E283" s="5441" t="s">
        <v>2855</v>
      </c>
      <c r="F283" s="5441" t="s">
        <v>2312</v>
      </c>
      <c r="G283" s="5441" t="s">
        <v>2856</v>
      </c>
      <c r="H283" s="5441" t="s">
        <v>28</v>
      </c>
      <c r="I283" s="5441" t="s">
        <v>855</v>
      </c>
    </row>
    <row customHeight="1" ht="11.25">
      <c r="A284" s="5441" t="s">
        <v>2251</v>
      </c>
      <c r="B284" s="5441" t="s">
        <v>16</v>
      </c>
      <c r="C284" s="5441" t="s">
        <v>2687</v>
      </c>
      <c r="D284" s="5441" t="s">
        <v>2688</v>
      </c>
      <c r="E284" s="5441" t="s">
        <v>2689</v>
      </c>
      <c r="F284" s="5441" t="s">
        <v>2281</v>
      </c>
      <c r="G284" s="5441" t="s">
        <v>28</v>
      </c>
      <c r="H284" s="5441" t="s">
        <v>28</v>
      </c>
      <c r="I284" s="5441" t="s">
        <v>855</v>
      </c>
    </row>
    <row customHeight="1" ht="11.25">
      <c r="A285" s="5441" t="s">
        <v>2251</v>
      </c>
      <c r="B285" s="5441" t="s">
        <v>16</v>
      </c>
      <c r="C285" s="5441" t="s">
        <v>2690</v>
      </c>
      <c r="D285" s="5441" t="s">
        <v>2688</v>
      </c>
      <c r="E285" s="5441" t="s">
        <v>2689</v>
      </c>
      <c r="F285" s="5441" t="s">
        <v>2691</v>
      </c>
      <c r="G285" s="5441" t="s">
        <v>28</v>
      </c>
      <c r="H285" s="5441" t="s">
        <v>28</v>
      </c>
      <c r="I285" s="5441" t="s">
        <v>855</v>
      </c>
    </row>
    <row customHeight="1" ht="11.25">
      <c r="A286" s="5441" t="s">
        <v>2251</v>
      </c>
      <c r="B286" s="5441" t="s">
        <v>16</v>
      </c>
      <c r="C286" s="5441" t="s">
        <v>2696</v>
      </c>
      <c r="D286" s="5441" t="s">
        <v>2697</v>
      </c>
      <c r="E286" s="5441" t="s">
        <v>2698</v>
      </c>
      <c r="F286" s="5441" t="s">
        <v>2699</v>
      </c>
      <c r="G286" s="5441" t="s">
        <v>28</v>
      </c>
      <c r="H286" s="5441" t="s">
        <v>28</v>
      </c>
      <c r="I286" s="5441" t="s">
        <v>855</v>
      </c>
    </row>
    <row customHeight="1" ht="11.25">
      <c r="A287" s="5441" t="s">
        <v>2251</v>
      </c>
      <c r="B287" s="5441" t="s">
        <v>16</v>
      </c>
      <c r="C287" s="5441" t="s">
        <v>2700</v>
      </c>
      <c r="D287" s="5441" t="s">
        <v>2701</v>
      </c>
      <c r="E287" s="5441" t="s">
        <v>2702</v>
      </c>
      <c r="F287" s="5441" t="s">
        <v>2312</v>
      </c>
      <c r="G287" s="5441" t="s">
        <v>28</v>
      </c>
      <c r="H287" s="5441" t="s">
        <v>28</v>
      </c>
      <c r="I287" s="5441" t="s">
        <v>855</v>
      </c>
    </row>
    <row customHeight="1" ht="11.25">
      <c r="A288" s="5441" t="s">
        <v>2251</v>
      </c>
      <c r="B288" s="5441" t="s">
        <v>16</v>
      </c>
      <c r="C288" s="5441" t="s">
        <v>2857</v>
      </c>
      <c r="D288" s="5441" t="s">
        <v>2858</v>
      </c>
      <c r="E288" s="5441" t="s">
        <v>2859</v>
      </c>
      <c r="F288" s="5441" t="s">
        <v>2289</v>
      </c>
      <c r="G288" s="5441" t="s">
        <v>28</v>
      </c>
      <c r="H288" s="5441" t="s">
        <v>28</v>
      </c>
      <c r="I288" s="5441" t="s">
        <v>855</v>
      </c>
    </row>
    <row customHeight="1" ht="11.25">
      <c r="A289" s="5441" t="s">
        <v>2251</v>
      </c>
      <c r="B289" s="5441" t="s">
        <v>16</v>
      </c>
      <c r="C289" s="5441" t="s">
        <v>2860</v>
      </c>
      <c r="D289" s="5441" t="s">
        <v>2861</v>
      </c>
      <c r="E289" s="5441" t="s">
        <v>2862</v>
      </c>
      <c r="F289" s="5441" t="s">
        <v>2365</v>
      </c>
      <c r="G289" s="5441" t="s">
        <v>28</v>
      </c>
      <c r="H289" s="5441" t="s">
        <v>28</v>
      </c>
      <c r="I289" s="5441" t="s">
        <v>855</v>
      </c>
    </row>
    <row customHeight="1" ht="11.25">
      <c r="A290" s="5441" t="s">
        <v>2251</v>
      </c>
      <c r="B290" s="5441" t="s">
        <v>16</v>
      </c>
      <c r="C290" s="5441" t="s">
        <v>2863</v>
      </c>
      <c r="D290" s="5441" t="s">
        <v>2864</v>
      </c>
      <c r="E290" s="5441" t="s">
        <v>2865</v>
      </c>
      <c r="F290" s="5441" t="s">
        <v>2269</v>
      </c>
      <c r="G290" s="5441" t="s">
        <v>28</v>
      </c>
      <c r="H290" s="5441" t="s">
        <v>28</v>
      </c>
      <c r="I290" s="5441" t="s">
        <v>855</v>
      </c>
    </row>
    <row customHeight="1" ht="11.25">
      <c r="A291" s="5441" t="s">
        <v>2251</v>
      </c>
      <c r="B291" s="5441" t="s">
        <v>16</v>
      </c>
      <c r="C291" s="5441" t="s">
        <v>2703</v>
      </c>
      <c r="D291" s="5441" t="s">
        <v>2704</v>
      </c>
      <c r="E291" s="5441" t="s">
        <v>2705</v>
      </c>
      <c r="F291" s="5441" t="s">
        <v>2706</v>
      </c>
      <c r="G291" s="5441" t="s">
        <v>28</v>
      </c>
      <c r="H291" s="5441" t="s">
        <v>28</v>
      </c>
      <c r="I291" s="5441" t="s">
        <v>855</v>
      </c>
    </row>
    <row customHeight="1" ht="11.25">
      <c r="A292" s="5441" t="s">
        <v>2251</v>
      </c>
      <c r="B292" s="5441" t="s">
        <v>16</v>
      </c>
      <c r="C292" s="5441" t="s">
        <v>2707</v>
      </c>
      <c r="D292" s="5441" t="s">
        <v>2708</v>
      </c>
      <c r="E292" s="5441" t="s">
        <v>2709</v>
      </c>
      <c r="F292" s="5441" t="s">
        <v>2710</v>
      </c>
      <c r="G292" s="5441" t="s">
        <v>28</v>
      </c>
      <c r="H292" s="5441" t="s">
        <v>28</v>
      </c>
      <c r="I292" s="5441" t="s">
        <v>855</v>
      </c>
    </row>
    <row customHeight="1" ht="11.25">
      <c r="A293" s="5441" t="s">
        <v>2251</v>
      </c>
      <c r="B293" s="5441" t="s">
        <v>16</v>
      </c>
      <c r="C293" s="5441" t="s">
        <v>2866</v>
      </c>
      <c r="D293" s="5441" t="s">
        <v>2867</v>
      </c>
      <c r="E293" s="5441" t="s">
        <v>2868</v>
      </c>
      <c r="F293" s="5441" t="s">
        <v>2408</v>
      </c>
      <c r="G293" s="5441" t="s">
        <v>28</v>
      </c>
      <c r="H293" s="5441" t="s">
        <v>28</v>
      </c>
      <c r="I293" s="5441" t="s">
        <v>855</v>
      </c>
    </row>
    <row customHeight="1" ht="11.25">
      <c r="A294" s="5441" t="s">
        <v>2251</v>
      </c>
      <c r="B294" s="5441" t="s">
        <v>16</v>
      </c>
      <c r="C294" s="5441" t="s">
        <v>2724</v>
      </c>
      <c r="D294" s="5441" t="s">
        <v>2725</v>
      </c>
      <c r="E294" s="5441" t="s">
        <v>2698</v>
      </c>
      <c r="F294" s="5441" t="s">
        <v>2726</v>
      </c>
      <c r="G294" s="5441" t="s">
        <v>2727</v>
      </c>
      <c r="H294" s="5441" t="s">
        <v>28</v>
      </c>
      <c r="I294" s="5441" t="s">
        <v>855</v>
      </c>
    </row>
    <row customHeight="1" ht="11.25">
      <c r="A295" s="5441" t="s">
        <v>2251</v>
      </c>
      <c r="B295" s="5441" t="s">
        <v>16</v>
      </c>
      <c r="C295" s="5441" t="s">
        <v>2728</v>
      </c>
      <c r="D295" s="5441" t="s">
        <v>2729</v>
      </c>
      <c r="E295" s="5441" t="s">
        <v>2730</v>
      </c>
      <c r="F295" s="5441" t="s">
        <v>2731</v>
      </c>
      <c r="G295" s="5441" t="s">
        <v>28</v>
      </c>
      <c r="H295" s="5441" t="s">
        <v>28</v>
      </c>
      <c r="I295" s="5441" t="s">
        <v>855</v>
      </c>
    </row>
    <row customHeight="1" ht="11.25">
      <c r="A296" s="5441" t="s">
        <v>2251</v>
      </c>
      <c r="B296" s="5441" t="s">
        <v>16</v>
      </c>
      <c r="C296" s="5441" t="s">
        <v>2732</v>
      </c>
      <c r="D296" s="5441" t="s">
        <v>2733</v>
      </c>
      <c r="E296" s="5441" t="s">
        <v>2734</v>
      </c>
      <c r="F296" s="5441" t="s">
        <v>2735</v>
      </c>
      <c r="G296" s="5441" t="s">
        <v>28</v>
      </c>
      <c r="H296" s="5441" t="s">
        <v>28</v>
      </c>
      <c r="I296" s="5441" t="s">
        <v>855</v>
      </c>
    </row>
    <row customHeight="1" ht="11.25">
      <c r="A297" s="5441" t="s">
        <v>2251</v>
      </c>
      <c r="B297" s="5441" t="s">
        <v>16</v>
      </c>
      <c r="C297" s="5441" t="s">
        <v>2256</v>
      </c>
      <c r="D297" s="5441" t="s">
        <v>2257</v>
      </c>
      <c r="E297" s="5441" t="s">
        <v>2258</v>
      </c>
      <c r="F297" s="5441" t="s">
        <v>2259</v>
      </c>
      <c r="G297" s="5441" t="s">
        <v>2260</v>
      </c>
      <c r="H297" s="5441" t="s">
        <v>28</v>
      </c>
      <c r="I297" s="5441" t="s">
        <v>908</v>
      </c>
    </row>
    <row customHeight="1" ht="11.25">
      <c r="A298" s="5441" t="s">
        <v>2251</v>
      </c>
      <c r="B298" s="5441" t="s">
        <v>16</v>
      </c>
      <c r="C298" s="5441" t="s">
        <v>2261</v>
      </c>
      <c r="D298" s="5441" t="s">
        <v>2262</v>
      </c>
      <c r="E298" s="5441" t="s">
        <v>2263</v>
      </c>
      <c r="F298" s="5441" t="s">
        <v>2264</v>
      </c>
      <c r="G298" s="5441" t="s">
        <v>2265</v>
      </c>
      <c r="H298" s="5441" t="s">
        <v>28</v>
      </c>
      <c r="I298" s="5441" t="s">
        <v>908</v>
      </c>
    </row>
    <row customHeight="1" ht="11.25">
      <c r="A299" s="5441" t="s">
        <v>2251</v>
      </c>
      <c r="B299" s="5441" t="s">
        <v>16</v>
      </c>
      <c r="C299" s="5441" t="s">
        <v>2270</v>
      </c>
      <c r="D299" s="5441" t="s">
        <v>2271</v>
      </c>
      <c r="E299" s="5441" t="s">
        <v>2272</v>
      </c>
      <c r="F299" s="5441" t="s">
        <v>2273</v>
      </c>
      <c r="G299" s="5441" t="s">
        <v>28</v>
      </c>
      <c r="H299" s="5441" t="s">
        <v>28</v>
      </c>
      <c r="I299" s="5441" t="s">
        <v>908</v>
      </c>
    </row>
    <row customHeight="1" ht="11.25">
      <c r="A300" s="5441" t="s">
        <v>2251</v>
      </c>
      <c r="B300" s="5441" t="s">
        <v>16</v>
      </c>
      <c r="C300" s="5441" t="s">
        <v>2274</v>
      </c>
      <c r="D300" s="5441" t="s">
        <v>2275</v>
      </c>
      <c r="E300" s="5441" t="s">
        <v>2276</v>
      </c>
      <c r="F300" s="5441" t="s">
        <v>2277</v>
      </c>
      <c r="G300" s="5441" t="s">
        <v>28</v>
      </c>
      <c r="H300" s="5441" t="s">
        <v>28</v>
      </c>
      <c r="I300" s="5441" t="s">
        <v>908</v>
      </c>
    </row>
    <row customHeight="1" ht="11.25">
      <c r="A301" s="5441" t="s">
        <v>2251</v>
      </c>
      <c r="B301" s="5441" t="s">
        <v>16</v>
      </c>
      <c r="C301" s="5441" t="s">
        <v>2745</v>
      </c>
      <c r="D301" s="5441" t="s">
        <v>2746</v>
      </c>
      <c r="E301" s="5441" t="s">
        <v>2747</v>
      </c>
      <c r="F301" s="5441" t="s">
        <v>2312</v>
      </c>
      <c r="G301" s="5441" t="s">
        <v>28</v>
      </c>
      <c r="H301" s="5441" t="s">
        <v>28</v>
      </c>
      <c r="I301" s="5441" t="s">
        <v>908</v>
      </c>
    </row>
    <row customHeight="1" ht="11.25">
      <c r="A302" s="5441" t="s">
        <v>2251</v>
      </c>
      <c r="B302" s="5441" t="s">
        <v>16</v>
      </c>
      <c r="C302" s="5441" t="s">
        <v>2282</v>
      </c>
      <c r="D302" s="5441" t="s">
        <v>2283</v>
      </c>
      <c r="E302" s="5441" t="s">
        <v>2284</v>
      </c>
      <c r="F302" s="5441" t="s">
        <v>2285</v>
      </c>
      <c r="G302" s="5441" t="s">
        <v>28</v>
      </c>
      <c r="H302" s="5441" t="s">
        <v>28</v>
      </c>
      <c r="I302" s="5441" t="s">
        <v>908</v>
      </c>
    </row>
    <row customHeight="1" ht="11.25">
      <c r="A303" s="5441" t="s">
        <v>2251</v>
      </c>
      <c r="B303" s="5441" t="s">
        <v>16</v>
      </c>
      <c r="C303" s="5441" t="s">
        <v>2290</v>
      </c>
      <c r="D303" s="5441" t="s">
        <v>2291</v>
      </c>
      <c r="E303" s="5441" t="s">
        <v>2292</v>
      </c>
      <c r="F303" s="5441" t="s">
        <v>2293</v>
      </c>
      <c r="G303" s="5441" t="s">
        <v>28</v>
      </c>
      <c r="H303" s="5441" t="s">
        <v>28</v>
      </c>
      <c r="I303" s="5441" t="s">
        <v>908</v>
      </c>
    </row>
    <row customHeight="1" ht="11.25">
      <c r="A304" s="5441" t="s">
        <v>2251</v>
      </c>
      <c r="B304" s="5441" t="s">
        <v>16</v>
      </c>
      <c r="C304" s="5441" t="s">
        <v>2298</v>
      </c>
      <c r="D304" s="5441" t="s">
        <v>2299</v>
      </c>
      <c r="E304" s="5441" t="s">
        <v>2300</v>
      </c>
      <c r="F304" s="5441" t="s">
        <v>2269</v>
      </c>
      <c r="G304" s="5441" t="s">
        <v>28</v>
      </c>
      <c r="H304" s="5441" t="s">
        <v>28</v>
      </c>
      <c r="I304" s="5441" t="s">
        <v>908</v>
      </c>
    </row>
    <row customHeight="1" ht="11.25">
      <c r="A305" s="5441" t="s">
        <v>2251</v>
      </c>
      <c r="B305" s="5441" t="s">
        <v>16</v>
      </c>
      <c r="C305" s="5441" t="s">
        <v>2748</v>
      </c>
      <c r="D305" s="5441" t="s">
        <v>2749</v>
      </c>
      <c r="E305" s="5441" t="s">
        <v>2750</v>
      </c>
      <c r="F305" s="5441" t="s">
        <v>2365</v>
      </c>
      <c r="G305" s="5441" t="s">
        <v>28</v>
      </c>
      <c r="H305" s="5441" t="s">
        <v>28</v>
      </c>
      <c r="I305" s="5441" t="s">
        <v>908</v>
      </c>
    </row>
    <row customHeight="1" ht="11.25">
      <c r="A306" s="5441" t="s">
        <v>2251</v>
      </c>
      <c r="B306" s="5441" t="s">
        <v>16</v>
      </c>
      <c r="C306" s="5441" t="s">
        <v>2869</v>
      </c>
      <c r="D306" s="5441" t="s">
        <v>2870</v>
      </c>
      <c r="E306" s="5441" t="s">
        <v>2871</v>
      </c>
      <c r="F306" s="5441" t="s">
        <v>51</v>
      </c>
      <c r="G306" s="5441" t="s">
        <v>28</v>
      </c>
      <c r="H306" s="5441" t="s">
        <v>28</v>
      </c>
      <c r="I306" s="5441" t="s">
        <v>908</v>
      </c>
    </row>
    <row customHeight="1" ht="11.25">
      <c r="A307" s="5441" t="s">
        <v>2251</v>
      </c>
      <c r="B307" s="5441" t="s">
        <v>16</v>
      </c>
      <c r="C307" s="5441" t="s">
        <v>2320</v>
      </c>
      <c r="D307" s="5441" t="s">
        <v>2321</v>
      </c>
      <c r="E307" s="5441" t="s">
        <v>2322</v>
      </c>
      <c r="F307" s="5441" t="s">
        <v>2289</v>
      </c>
      <c r="G307" s="5441" t="s">
        <v>2323</v>
      </c>
      <c r="H307" s="5441" t="s">
        <v>28</v>
      </c>
      <c r="I307" s="5441" t="s">
        <v>908</v>
      </c>
    </row>
    <row customHeight="1" ht="11.25">
      <c r="A308" s="5441" t="s">
        <v>2251</v>
      </c>
      <c r="B308" s="5441" t="s">
        <v>16</v>
      </c>
      <c r="C308" s="5441" t="s">
        <v>2324</v>
      </c>
      <c r="D308" s="5441" t="s">
        <v>2325</v>
      </c>
      <c r="E308" s="5441" t="s">
        <v>2326</v>
      </c>
      <c r="F308" s="5441" t="s">
        <v>2281</v>
      </c>
      <c r="G308" s="5441" t="s">
        <v>28</v>
      </c>
      <c r="H308" s="5441" t="s">
        <v>28</v>
      </c>
      <c r="I308" s="5441" t="s">
        <v>908</v>
      </c>
    </row>
    <row customHeight="1" ht="11.25">
      <c r="A309" s="5441" t="s">
        <v>2251</v>
      </c>
      <c r="B309" s="5441" t="s">
        <v>16</v>
      </c>
      <c r="C309" s="5441" t="s">
        <v>2751</v>
      </c>
      <c r="D309" s="5441" t="s">
        <v>2752</v>
      </c>
      <c r="E309" s="5441" t="s">
        <v>2753</v>
      </c>
      <c r="F309" s="5441" t="s">
        <v>51</v>
      </c>
      <c r="G309" s="5441" t="s">
        <v>28</v>
      </c>
      <c r="H309" s="5441" t="s">
        <v>28</v>
      </c>
      <c r="I309" s="5441" t="s">
        <v>908</v>
      </c>
    </row>
    <row customHeight="1" ht="11.25">
      <c r="A310" s="5441" t="s">
        <v>2251</v>
      </c>
      <c r="B310" s="5441" t="s">
        <v>16</v>
      </c>
      <c r="C310" s="5441" t="s">
        <v>2335</v>
      </c>
      <c r="D310" s="5441" t="s">
        <v>2336</v>
      </c>
      <c r="E310" s="5441" t="s">
        <v>2337</v>
      </c>
      <c r="F310" s="5441" t="s">
        <v>2333</v>
      </c>
      <c r="G310" s="5441" t="s">
        <v>28</v>
      </c>
      <c r="H310" s="5441" t="s">
        <v>28</v>
      </c>
      <c r="I310" s="5441" t="s">
        <v>908</v>
      </c>
    </row>
    <row customHeight="1" ht="11.25">
      <c r="A311" s="5441" t="s">
        <v>2251</v>
      </c>
      <c r="B311" s="5441" t="s">
        <v>16</v>
      </c>
      <c r="C311" s="5441" t="s">
        <v>2754</v>
      </c>
      <c r="D311" s="5441" t="s">
        <v>2755</v>
      </c>
      <c r="E311" s="5441" t="s">
        <v>2756</v>
      </c>
      <c r="F311" s="5441" t="s">
        <v>2281</v>
      </c>
      <c r="G311" s="5441" t="s">
        <v>28</v>
      </c>
      <c r="H311" s="5441" t="s">
        <v>28</v>
      </c>
      <c r="I311" s="5441" t="s">
        <v>908</v>
      </c>
    </row>
    <row customHeight="1" ht="11.25">
      <c r="A312" s="5441" t="s">
        <v>2251</v>
      </c>
      <c r="B312" s="5441" t="s">
        <v>16</v>
      </c>
      <c r="C312" s="5441" t="s">
        <v>2342</v>
      </c>
      <c r="D312" s="5441" t="s">
        <v>2343</v>
      </c>
      <c r="E312" s="5441" t="s">
        <v>2344</v>
      </c>
      <c r="F312" s="5441" t="s">
        <v>2269</v>
      </c>
      <c r="G312" s="5441" t="s">
        <v>28</v>
      </c>
      <c r="H312" s="5441" t="s">
        <v>28</v>
      </c>
      <c r="I312" s="5441" t="s">
        <v>908</v>
      </c>
    </row>
    <row customHeight="1" ht="11.25">
      <c r="A313" s="5441" t="s">
        <v>2251</v>
      </c>
      <c r="B313" s="5441" t="s">
        <v>16</v>
      </c>
      <c r="C313" s="5441" t="s">
        <v>2872</v>
      </c>
      <c r="D313" s="5441" t="s">
        <v>2873</v>
      </c>
      <c r="E313" s="5441" t="s">
        <v>2874</v>
      </c>
      <c r="F313" s="5441" t="s">
        <v>2269</v>
      </c>
      <c r="G313" s="5441" t="s">
        <v>28</v>
      </c>
      <c r="H313" s="5441" t="s">
        <v>28</v>
      </c>
      <c r="I313" s="5441" t="s">
        <v>908</v>
      </c>
    </row>
    <row customHeight="1" ht="11.25">
      <c r="A314" s="5441" t="s">
        <v>2251</v>
      </c>
      <c r="B314" s="5441" t="s">
        <v>16</v>
      </c>
      <c r="C314" s="5441" t="s">
        <v>2875</v>
      </c>
      <c r="D314" s="5441" t="s">
        <v>2876</v>
      </c>
      <c r="E314" s="5441" t="s">
        <v>2877</v>
      </c>
      <c r="F314" s="5441" t="s">
        <v>2312</v>
      </c>
      <c r="G314" s="5441" t="s">
        <v>28</v>
      </c>
      <c r="H314" s="5441" t="s">
        <v>28</v>
      </c>
      <c r="I314" s="5441" t="s">
        <v>908</v>
      </c>
    </row>
    <row customHeight="1" ht="11.25">
      <c r="A315" s="5441" t="s">
        <v>2251</v>
      </c>
      <c r="B315" s="5441" t="s">
        <v>16</v>
      </c>
      <c r="C315" s="5441" t="s">
        <v>2345</v>
      </c>
      <c r="D315" s="5441" t="s">
        <v>2346</v>
      </c>
      <c r="E315" s="5441" t="s">
        <v>2347</v>
      </c>
      <c r="F315" s="5441" t="s">
        <v>51</v>
      </c>
      <c r="G315" s="5441" t="s">
        <v>28</v>
      </c>
      <c r="H315" s="5441" t="s">
        <v>28</v>
      </c>
      <c r="I315" s="5441" t="s">
        <v>908</v>
      </c>
    </row>
    <row customHeight="1" ht="11.25">
      <c r="A316" s="5441" t="s">
        <v>2251</v>
      </c>
      <c r="B316" s="5441" t="s">
        <v>16</v>
      </c>
      <c r="C316" s="5441" t="s">
        <v>2348</v>
      </c>
      <c r="D316" s="5441" t="s">
        <v>2349</v>
      </c>
      <c r="E316" s="5441" t="s">
        <v>2350</v>
      </c>
      <c r="F316" s="5441" t="s">
        <v>2333</v>
      </c>
      <c r="G316" s="5441" t="s">
        <v>28</v>
      </c>
      <c r="H316" s="5441" t="s">
        <v>28</v>
      </c>
      <c r="I316" s="5441" t="s">
        <v>908</v>
      </c>
    </row>
    <row customHeight="1" ht="11.25">
      <c r="A317" s="5441" t="s">
        <v>2251</v>
      </c>
      <c r="B317" s="5441" t="s">
        <v>16</v>
      </c>
      <c r="C317" s="5441" t="s">
        <v>2355</v>
      </c>
      <c r="D317" s="5441" t="s">
        <v>2356</v>
      </c>
      <c r="E317" s="5441" t="s">
        <v>2357</v>
      </c>
      <c r="F317" s="5441" t="s">
        <v>2358</v>
      </c>
      <c r="G317" s="5441" t="s">
        <v>28</v>
      </c>
      <c r="H317" s="5441" t="s">
        <v>28</v>
      </c>
      <c r="I317" s="5441" t="s">
        <v>908</v>
      </c>
    </row>
    <row customHeight="1" ht="11.25">
      <c r="A318" s="5441" t="s">
        <v>2251</v>
      </c>
      <c r="B318" s="5441" t="s">
        <v>16</v>
      </c>
      <c r="C318" s="5441" t="s">
        <v>2757</v>
      </c>
      <c r="D318" s="5441" t="s">
        <v>2758</v>
      </c>
      <c r="E318" s="5441" t="s">
        <v>2759</v>
      </c>
      <c r="F318" s="5441" t="s">
        <v>2277</v>
      </c>
      <c r="G318" s="5441" t="s">
        <v>28</v>
      </c>
      <c r="H318" s="5441" t="s">
        <v>28</v>
      </c>
      <c r="I318" s="5441" t="s">
        <v>908</v>
      </c>
    </row>
    <row customHeight="1" ht="11.25">
      <c r="A319" s="5441" t="s">
        <v>2251</v>
      </c>
      <c r="B319" s="5441" t="s">
        <v>16</v>
      </c>
      <c r="C319" s="5441" t="s">
        <v>2373</v>
      </c>
      <c r="D319" s="5441" t="s">
        <v>2374</v>
      </c>
      <c r="E319" s="5441" t="s">
        <v>2375</v>
      </c>
      <c r="F319" s="5441" t="s">
        <v>2333</v>
      </c>
      <c r="G319" s="5441" t="s">
        <v>28</v>
      </c>
      <c r="H319" s="5441" t="s">
        <v>28</v>
      </c>
      <c r="I319" s="5441" t="s">
        <v>908</v>
      </c>
    </row>
    <row customHeight="1" ht="11.25">
      <c r="A320" s="5441" t="s">
        <v>2251</v>
      </c>
      <c r="B320" s="5441" t="s">
        <v>16</v>
      </c>
      <c r="C320" s="5441" t="s">
        <v>2376</v>
      </c>
      <c r="D320" s="5441" t="s">
        <v>2377</v>
      </c>
      <c r="E320" s="5441" t="s">
        <v>2378</v>
      </c>
      <c r="F320" s="5441" t="s">
        <v>2379</v>
      </c>
      <c r="G320" s="5441" t="s">
        <v>28</v>
      </c>
      <c r="H320" s="5441" t="s">
        <v>28</v>
      </c>
      <c r="I320" s="5441" t="s">
        <v>908</v>
      </c>
    </row>
    <row customHeight="1" ht="11.25">
      <c r="A321" s="5441" t="s">
        <v>2251</v>
      </c>
      <c r="B321" s="5441" t="s">
        <v>16</v>
      </c>
      <c r="C321" s="5441" t="s">
        <v>28</v>
      </c>
      <c r="D321" s="5441" t="s">
        <v>2380</v>
      </c>
      <c r="E321" s="5441" t="s">
        <v>2381</v>
      </c>
      <c r="F321" s="5441" t="s">
        <v>2312</v>
      </c>
      <c r="G321" s="5441" t="s">
        <v>28</v>
      </c>
      <c r="H321" s="5441" t="s">
        <v>28</v>
      </c>
      <c r="I321" s="5441" t="s">
        <v>908</v>
      </c>
    </row>
    <row customHeight="1" ht="11.25">
      <c r="A322" s="5441" t="s">
        <v>2251</v>
      </c>
      <c r="B322" s="5441" t="s">
        <v>16</v>
      </c>
      <c r="C322" s="5441" t="s">
        <v>2760</v>
      </c>
      <c r="D322" s="5441" t="s">
        <v>2761</v>
      </c>
      <c r="E322" s="5441" t="s">
        <v>2762</v>
      </c>
      <c r="F322" s="5441" t="s">
        <v>2369</v>
      </c>
      <c r="G322" s="5441" t="s">
        <v>2763</v>
      </c>
      <c r="H322" s="5441" t="s">
        <v>28</v>
      </c>
      <c r="I322" s="5441" t="s">
        <v>908</v>
      </c>
    </row>
    <row customHeight="1" ht="11.25">
      <c r="A323" s="5441" t="s">
        <v>2251</v>
      </c>
      <c r="B323" s="5441" t="s">
        <v>16</v>
      </c>
      <c r="C323" s="5441" t="s">
        <v>2878</v>
      </c>
      <c r="D323" s="5441" t="s">
        <v>2879</v>
      </c>
      <c r="E323" s="5441" t="s">
        <v>2880</v>
      </c>
      <c r="F323" s="5441" t="s">
        <v>2369</v>
      </c>
      <c r="G323" s="5441" t="s">
        <v>28</v>
      </c>
      <c r="H323" s="5441" t="s">
        <v>28</v>
      </c>
      <c r="I323" s="5441" t="s">
        <v>908</v>
      </c>
    </row>
    <row customHeight="1" ht="11.25">
      <c r="A324" s="5441" t="s">
        <v>2251</v>
      </c>
      <c r="B324" s="5441" t="s">
        <v>16</v>
      </c>
      <c r="C324" s="5441" t="s">
        <v>2764</v>
      </c>
      <c r="D324" s="5441" t="s">
        <v>2765</v>
      </c>
      <c r="E324" s="5441" t="s">
        <v>2766</v>
      </c>
      <c r="F324" s="5441" t="s">
        <v>2365</v>
      </c>
      <c r="G324" s="5441" t="s">
        <v>28</v>
      </c>
      <c r="H324" s="5441" t="s">
        <v>28</v>
      </c>
      <c r="I324" s="5441" t="s">
        <v>908</v>
      </c>
    </row>
    <row customHeight="1" ht="11.25">
      <c r="A325" s="5441" t="s">
        <v>2251</v>
      </c>
      <c r="B325" s="5441" t="s">
        <v>16</v>
      </c>
      <c r="C325" s="5441" t="s">
        <v>2767</v>
      </c>
      <c r="D325" s="5441" t="s">
        <v>2768</v>
      </c>
      <c r="E325" s="5441" t="s">
        <v>2769</v>
      </c>
      <c r="F325" s="5441" t="s">
        <v>2285</v>
      </c>
      <c r="G325" s="5441" t="s">
        <v>28</v>
      </c>
      <c r="H325" s="5441" t="s">
        <v>28</v>
      </c>
      <c r="I325" s="5441" t="s">
        <v>908</v>
      </c>
    </row>
    <row customHeight="1" ht="11.25">
      <c r="A326" s="5441" t="s">
        <v>2251</v>
      </c>
      <c r="B326" s="5441" t="s">
        <v>16</v>
      </c>
      <c r="C326" s="5441" t="s">
        <v>2389</v>
      </c>
      <c r="D326" s="5441" t="s">
        <v>2390</v>
      </c>
      <c r="E326" s="5441" t="s">
        <v>2391</v>
      </c>
      <c r="F326" s="5441" t="s">
        <v>2392</v>
      </c>
      <c r="G326" s="5441" t="s">
        <v>28</v>
      </c>
      <c r="H326" s="5441" t="s">
        <v>28</v>
      </c>
      <c r="I326" s="5441" t="s">
        <v>908</v>
      </c>
    </row>
    <row customHeight="1" ht="11.25">
      <c r="A327" s="5441" t="s">
        <v>2251</v>
      </c>
      <c r="B327" s="5441" t="s">
        <v>16</v>
      </c>
      <c r="C327" s="5441" t="s">
        <v>2393</v>
      </c>
      <c r="D327" s="5441" t="s">
        <v>2394</v>
      </c>
      <c r="E327" s="5441" t="s">
        <v>2395</v>
      </c>
      <c r="F327" s="5441" t="s">
        <v>2396</v>
      </c>
      <c r="G327" s="5441" t="s">
        <v>28</v>
      </c>
      <c r="H327" s="5441" t="s">
        <v>28</v>
      </c>
      <c r="I327" s="5441" t="s">
        <v>908</v>
      </c>
    </row>
    <row customHeight="1" ht="11.25">
      <c r="A328" s="5441" t="s">
        <v>2251</v>
      </c>
      <c r="B328" s="5441" t="s">
        <v>16</v>
      </c>
      <c r="C328" s="5441" t="s">
        <v>2770</v>
      </c>
      <c r="D328" s="5441" t="s">
        <v>2771</v>
      </c>
      <c r="E328" s="5441" t="s">
        <v>2772</v>
      </c>
      <c r="F328" s="5441" t="s">
        <v>2285</v>
      </c>
      <c r="G328" s="5441" t="s">
        <v>2773</v>
      </c>
      <c r="H328" s="5441" t="s">
        <v>28</v>
      </c>
      <c r="I328" s="5441" t="s">
        <v>908</v>
      </c>
    </row>
    <row customHeight="1" ht="11.25">
      <c r="A329" s="5441" t="s">
        <v>2251</v>
      </c>
      <c r="B329" s="5441" t="s">
        <v>16</v>
      </c>
      <c r="C329" s="5441" t="s">
        <v>2774</v>
      </c>
      <c r="D329" s="5441" t="s">
        <v>2775</v>
      </c>
      <c r="E329" s="5441" t="s">
        <v>2776</v>
      </c>
      <c r="F329" s="5441" t="s">
        <v>2369</v>
      </c>
      <c r="G329" s="5441" t="s">
        <v>2777</v>
      </c>
      <c r="H329" s="5441" t="s">
        <v>28</v>
      </c>
      <c r="I329" s="5441" t="s">
        <v>908</v>
      </c>
    </row>
    <row customHeight="1" ht="11.25">
      <c r="A330" s="5441" t="s">
        <v>2251</v>
      </c>
      <c r="B330" s="5441" t="s">
        <v>16</v>
      </c>
      <c r="C330" s="5441" t="s">
        <v>2401</v>
      </c>
      <c r="D330" s="5441" t="s">
        <v>2402</v>
      </c>
      <c r="E330" s="5441" t="s">
        <v>2403</v>
      </c>
      <c r="F330" s="5441" t="s">
        <v>2404</v>
      </c>
      <c r="G330" s="5441" t="s">
        <v>28</v>
      </c>
      <c r="H330" s="5441" t="s">
        <v>28</v>
      </c>
      <c r="I330" s="5441" t="s">
        <v>908</v>
      </c>
    </row>
    <row customHeight="1" ht="11.25">
      <c r="A331" s="5441" t="s">
        <v>2251</v>
      </c>
      <c r="B331" s="5441" t="s">
        <v>16</v>
      </c>
      <c r="C331" s="5441" t="s">
        <v>2778</v>
      </c>
      <c r="D331" s="5441" t="s">
        <v>2779</v>
      </c>
      <c r="E331" s="5441" t="s">
        <v>2780</v>
      </c>
      <c r="F331" s="5441" t="s">
        <v>2285</v>
      </c>
      <c r="G331" s="5441" t="s">
        <v>28</v>
      </c>
      <c r="H331" s="5441" t="s">
        <v>28</v>
      </c>
      <c r="I331" s="5441" t="s">
        <v>908</v>
      </c>
    </row>
    <row customHeight="1" ht="11.25">
      <c r="A332" s="5441" t="s">
        <v>2251</v>
      </c>
      <c r="B332" s="5441" t="s">
        <v>16</v>
      </c>
      <c r="C332" s="5441" t="s">
        <v>2416</v>
      </c>
      <c r="D332" s="5441" t="s">
        <v>2417</v>
      </c>
      <c r="E332" s="5441" t="s">
        <v>2418</v>
      </c>
      <c r="F332" s="5441" t="s">
        <v>2285</v>
      </c>
      <c r="G332" s="5441" t="s">
        <v>28</v>
      </c>
      <c r="H332" s="5441" t="s">
        <v>28</v>
      </c>
      <c r="I332" s="5441" t="s">
        <v>908</v>
      </c>
    </row>
    <row customHeight="1" ht="11.25">
      <c r="A333" s="5441" t="s">
        <v>2251</v>
      </c>
      <c r="B333" s="5441" t="s">
        <v>16</v>
      </c>
      <c r="C333" s="5441" t="s">
        <v>2429</v>
      </c>
      <c r="D333" s="5441" t="s">
        <v>2430</v>
      </c>
      <c r="E333" s="5441" t="s">
        <v>2431</v>
      </c>
      <c r="F333" s="5441" t="s">
        <v>2408</v>
      </c>
      <c r="G333" s="5441" t="s">
        <v>28</v>
      </c>
      <c r="H333" s="5441" t="s">
        <v>28</v>
      </c>
      <c r="I333" s="5441" t="s">
        <v>908</v>
      </c>
    </row>
    <row customHeight="1" ht="11.25">
      <c r="A334" s="5441" t="s">
        <v>2251</v>
      </c>
      <c r="B334" s="5441" t="s">
        <v>16</v>
      </c>
      <c r="C334" s="5441" t="s">
        <v>2436</v>
      </c>
      <c r="D334" s="5441" t="s">
        <v>2437</v>
      </c>
      <c r="E334" s="5441" t="s">
        <v>2438</v>
      </c>
      <c r="F334" s="5441" t="s">
        <v>2439</v>
      </c>
      <c r="G334" s="5441" t="s">
        <v>28</v>
      </c>
      <c r="H334" s="5441" t="s">
        <v>28</v>
      </c>
      <c r="I334" s="5441" t="s">
        <v>908</v>
      </c>
    </row>
    <row customHeight="1" ht="11.25">
      <c r="A335" s="5441" t="s">
        <v>2251</v>
      </c>
      <c r="B335" s="5441" t="s">
        <v>16</v>
      </c>
      <c r="C335" s="5441" t="s">
        <v>2440</v>
      </c>
      <c r="D335" s="5441" t="s">
        <v>2441</v>
      </c>
      <c r="E335" s="5441" t="s">
        <v>2442</v>
      </c>
      <c r="F335" s="5441" t="s">
        <v>2365</v>
      </c>
      <c r="G335" s="5441" t="s">
        <v>28</v>
      </c>
      <c r="H335" s="5441" t="s">
        <v>28</v>
      </c>
      <c r="I335" s="5441" t="s">
        <v>908</v>
      </c>
    </row>
    <row customHeight="1" ht="11.25">
      <c r="A336" s="5441" t="s">
        <v>2251</v>
      </c>
      <c r="B336" s="5441" t="s">
        <v>16</v>
      </c>
      <c r="C336" s="5441" t="s">
        <v>2446</v>
      </c>
      <c r="D336" s="5441" t="s">
        <v>2447</v>
      </c>
      <c r="E336" s="5441" t="s">
        <v>2448</v>
      </c>
      <c r="F336" s="5441" t="s">
        <v>51</v>
      </c>
      <c r="G336" s="5441" t="s">
        <v>28</v>
      </c>
      <c r="H336" s="5441" t="s">
        <v>28</v>
      </c>
      <c r="I336" s="5441" t="s">
        <v>908</v>
      </c>
    </row>
    <row customHeight="1" ht="11.25">
      <c r="A337" s="5441" t="s">
        <v>2251</v>
      </c>
      <c r="B337" s="5441" t="s">
        <v>16</v>
      </c>
      <c r="C337" s="5441" t="s">
        <v>2449</v>
      </c>
      <c r="D337" s="5441" t="s">
        <v>2450</v>
      </c>
      <c r="E337" s="5441" t="s">
        <v>2451</v>
      </c>
      <c r="F337" s="5441" t="s">
        <v>2316</v>
      </c>
      <c r="G337" s="5441" t="s">
        <v>2452</v>
      </c>
      <c r="H337" s="5441" t="s">
        <v>28</v>
      </c>
      <c r="I337" s="5441" t="s">
        <v>908</v>
      </c>
    </row>
    <row customHeight="1" ht="11.25">
      <c r="A338" s="5441" t="s">
        <v>2251</v>
      </c>
      <c r="B338" s="5441" t="s">
        <v>16</v>
      </c>
      <c r="C338" s="5441" t="s">
        <v>2453</v>
      </c>
      <c r="D338" s="5441" t="s">
        <v>2454</v>
      </c>
      <c r="E338" s="5441" t="s">
        <v>2455</v>
      </c>
      <c r="F338" s="5441" t="s">
        <v>2316</v>
      </c>
      <c r="G338" s="5441" t="s">
        <v>28</v>
      </c>
      <c r="H338" s="5441" t="s">
        <v>28</v>
      </c>
      <c r="I338" s="5441" t="s">
        <v>908</v>
      </c>
    </row>
    <row customHeight="1" ht="11.25">
      <c r="A339" s="5441" t="s">
        <v>2251</v>
      </c>
      <c r="B339" s="5441" t="s">
        <v>16</v>
      </c>
      <c r="C339" s="5441" t="s">
        <v>2459</v>
      </c>
      <c r="D339" s="5441" t="s">
        <v>2460</v>
      </c>
      <c r="E339" s="5441" t="s">
        <v>2461</v>
      </c>
      <c r="F339" s="5441" t="s">
        <v>2369</v>
      </c>
      <c r="G339" s="5441" t="s">
        <v>28</v>
      </c>
      <c r="H339" s="5441" t="s">
        <v>28</v>
      </c>
      <c r="I339" s="5441" t="s">
        <v>908</v>
      </c>
    </row>
    <row customHeight="1" ht="11.25">
      <c r="A340" s="5441" t="s">
        <v>2251</v>
      </c>
      <c r="B340" s="5441" t="s">
        <v>16</v>
      </c>
      <c r="C340" s="5441" t="s">
        <v>2465</v>
      </c>
      <c r="D340" s="5441" t="s">
        <v>2466</v>
      </c>
      <c r="E340" s="5441" t="s">
        <v>2467</v>
      </c>
      <c r="F340" s="5441" t="s">
        <v>2281</v>
      </c>
      <c r="G340" s="5441" t="s">
        <v>28</v>
      </c>
      <c r="H340" s="5441" t="s">
        <v>28</v>
      </c>
      <c r="I340" s="5441" t="s">
        <v>908</v>
      </c>
    </row>
    <row customHeight="1" ht="11.25">
      <c r="A341" s="5441" t="s">
        <v>2251</v>
      </c>
      <c r="B341" s="5441" t="s">
        <v>16</v>
      </c>
      <c r="C341" s="5441" t="s">
        <v>2468</v>
      </c>
      <c r="D341" s="5441" t="s">
        <v>2469</v>
      </c>
      <c r="E341" s="5441" t="s">
        <v>2470</v>
      </c>
      <c r="F341" s="5441" t="s">
        <v>2277</v>
      </c>
      <c r="G341" s="5441" t="s">
        <v>28</v>
      </c>
      <c r="H341" s="5441" t="s">
        <v>28</v>
      </c>
      <c r="I341" s="5441" t="s">
        <v>908</v>
      </c>
    </row>
    <row customHeight="1" ht="11.25">
      <c r="A342" s="5441" t="s">
        <v>2251</v>
      </c>
      <c r="B342" s="5441" t="s">
        <v>16</v>
      </c>
      <c r="C342" s="5441" t="s">
        <v>2784</v>
      </c>
      <c r="D342" s="5441" t="s">
        <v>2785</v>
      </c>
      <c r="E342" s="5441" t="s">
        <v>2786</v>
      </c>
      <c r="F342" s="5441" t="s">
        <v>51</v>
      </c>
      <c r="G342" s="5441" t="s">
        <v>2787</v>
      </c>
      <c r="H342" s="5441" t="s">
        <v>28</v>
      </c>
      <c r="I342" s="5441" t="s">
        <v>908</v>
      </c>
    </row>
    <row customHeight="1" ht="11.25">
      <c r="A343" s="5441" t="s">
        <v>2251</v>
      </c>
      <c r="B343" s="5441" t="s">
        <v>16</v>
      </c>
      <c r="C343" s="5441" t="s">
        <v>2474</v>
      </c>
      <c r="D343" s="5441" t="s">
        <v>2475</v>
      </c>
      <c r="E343" s="5441" t="s">
        <v>2476</v>
      </c>
      <c r="F343" s="5441" t="s">
        <v>2369</v>
      </c>
      <c r="G343" s="5441" t="s">
        <v>28</v>
      </c>
      <c r="H343" s="5441" t="s">
        <v>28</v>
      </c>
      <c r="I343" s="5441" t="s">
        <v>908</v>
      </c>
    </row>
    <row customHeight="1" ht="11.25">
      <c r="A344" s="5441" t="s">
        <v>2251</v>
      </c>
      <c r="B344" s="5441" t="s">
        <v>16</v>
      </c>
      <c r="C344" s="5441" t="s">
        <v>2881</v>
      </c>
      <c r="D344" s="5441" t="s">
        <v>2882</v>
      </c>
      <c r="E344" s="5441" t="s">
        <v>2883</v>
      </c>
      <c r="F344" s="5441" t="s">
        <v>2316</v>
      </c>
      <c r="G344" s="5441" t="s">
        <v>2884</v>
      </c>
      <c r="H344" s="5441" t="s">
        <v>28</v>
      </c>
      <c r="I344" s="5441" t="s">
        <v>908</v>
      </c>
    </row>
    <row customHeight="1" ht="11.25">
      <c r="A345" s="5441" t="s">
        <v>2251</v>
      </c>
      <c r="B345" s="5441" t="s">
        <v>16</v>
      </c>
      <c r="C345" s="5441" t="s">
        <v>2788</v>
      </c>
      <c r="D345" s="5441" t="s">
        <v>2789</v>
      </c>
      <c r="E345" s="5441" t="s">
        <v>2790</v>
      </c>
      <c r="F345" s="5441" t="s">
        <v>2358</v>
      </c>
      <c r="G345" s="5441" t="s">
        <v>28</v>
      </c>
      <c r="H345" s="5441" t="s">
        <v>28</v>
      </c>
      <c r="I345" s="5441" t="s">
        <v>908</v>
      </c>
    </row>
    <row customHeight="1" ht="11.25">
      <c r="A346" s="5441" t="s">
        <v>2251</v>
      </c>
      <c r="B346" s="5441" t="s">
        <v>16</v>
      </c>
      <c r="C346" s="5441" t="s">
        <v>2885</v>
      </c>
      <c r="D346" s="5441" t="s">
        <v>2886</v>
      </c>
      <c r="E346" s="5441" t="s">
        <v>2887</v>
      </c>
      <c r="F346" s="5441" t="s">
        <v>2316</v>
      </c>
      <c r="G346" s="5441" t="s">
        <v>2797</v>
      </c>
      <c r="H346" s="5441" t="s">
        <v>28</v>
      </c>
      <c r="I346" s="5441" t="s">
        <v>908</v>
      </c>
    </row>
    <row customHeight="1" ht="11.25">
      <c r="A347" s="5441" t="s">
        <v>2251</v>
      </c>
      <c r="B347" s="5441" t="s">
        <v>16</v>
      </c>
      <c r="C347" s="5441" t="s">
        <v>2794</v>
      </c>
      <c r="D347" s="5441" t="s">
        <v>2795</v>
      </c>
      <c r="E347" s="5441" t="s">
        <v>2796</v>
      </c>
      <c r="F347" s="5441" t="s">
        <v>51</v>
      </c>
      <c r="G347" s="5441" t="s">
        <v>2797</v>
      </c>
      <c r="H347" s="5441" t="s">
        <v>28</v>
      </c>
      <c r="I347" s="5441" t="s">
        <v>908</v>
      </c>
    </row>
    <row customHeight="1" ht="11.25">
      <c r="A348" s="5441" t="s">
        <v>2251</v>
      </c>
      <c r="B348" s="5441" t="s">
        <v>16</v>
      </c>
      <c r="C348" s="5441" t="s">
        <v>2888</v>
      </c>
      <c r="D348" s="5441" t="s">
        <v>2889</v>
      </c>
      <c r="E348" s="5441" t="s">
        <v>2890</v>
      </c>
      <c r="F348" s="5441" t="s">
        <v>2316</v>
      </c>
      <c r="G348" s="5441" t="s">
        <v>2836</v>
      </c>
      <c r="H348" s="5441" t="s">
        <v>28</v>
      </c>
      <c r="I348" s="5441" t="s">
        <v>908</v>
      </c>
    </row>
    <row customHeight="1" ht="11.25">
      <c r="A349" s="5441" t="s">
        <v>2251</v>
      </c>
      <c r="B349" s="5441" t="s">
        <v>16</v>
      </c>
      <c r="C349" s="5441" t="s">
        <v>2798</v>
      </c>
      <c r="D349" s="5441" t="s">
        <v>2799</v>
      </c>
      <c r="E349" s="5441" t="s">
        <v>2800</v>
      </c>
      <c r="F349" s="5441" t="s">
        <v>2333</v>
      </c>
      <c r="G349" s="5441" t="s">
        <v>2801</v>
      </c>
      <c r="H349" s="5441" t="s">
        <v>28</v>
      </c>
      <c r="I349" s="5441" t="s">
        <v>908</v>
      </c>
    </row>
    <row customHeight="1" ht="11.25">
      <c r="A350" s="5441" t="s">
        <v>2251</v>
      </c>
      <c r="B350" s="5441" t="s">
        <v>16</v>
      </c>
      <c r="C350" s="5441" t="s">
        <v>2513</v>
      </c>
      <c r="D350" s="5441" t="s">
        <v>2514</v>
      </c>
      <c r="E350" s="5441" t="s">
        <v>2515</v>
      </c>
      <c r="F350" s="5441" t="s">
        <v>2369</v>
      </c>
      <c r="G350" s="5441" t="s">
        <v>2516</v>
      </c>
      <c r="H350" s="5441" t="s">
        <v>28</v>
      </c>
      <c r="I350" s="5441" t="s">
        <v>908</v>
      </c>
    </row>
    <row customHeight="1" ht="11.25">
      <c r="A351" s="5441" t="s">
        <v>2251</v>
      </c>
      <c r="B351" s="5441" t="s">
        <v>16</v>
      </c>
      <c r="C351" s="5441" t="s">
        <v>2891</v>
      </c>
      <c r="D351" s="5441" t="s">
        <v>2892</v>
      </c>
      <c r="E351" s="5441" t="s">
        <v>2893</v>
      </c>
      <c r="F351" s="5441" t="s">
        <v>2404</v>
      </c>
      <c r="G351" s="5441" t="s">
        <v>28</v>
      </c>
      <c r="H351" s="5441" t="s">
        <v>28</v>
      </c>
      <c r="I351" s="5441" t="s">
        <v>908</v>
      </c>
    </row>
    <row customHeight="1" ht="11.25">
      <c r="A352" s="5441" t="s">
        <v>2251</v>
      </c>
      <c r="B352" s="5441" t="s">
        <v>16</v>
      </c>
      <c r="C352" s="5441" t="s">
        <v>2802</v>
      </c>
      <c r="D352" s="5441" t="s">
        <v>2803</v>
      </c>
      <c r="E352" s="5441" t="s">
        <v>2804</v>
      </c>
      <c r="F352" s="5441" t="s">
        <v>2333</v>
      </c>
      <c r="G352" s="5441" t="s">
        <v>28</v>
      </c>
      <c r="H352" s="5441" t="s">
        <v>28</v>
      </c>
      <c r="I352" s="5441" t="s">
        <v>908</v>
      </c>
    </row>
    <row customHeight="1" ht="11.25">
      <c r="A353" s="5441" t="s">
        <v>2251</v>
      </c>
      <c r="B353" s="5441" t="s">
        <v>16</v>
      </c>
      <c r="C353" s="5441" t="s">
        <v>2533</v>
      </c>
      <c r="D353" s="5441" t="s">
        <v>2534</v>
      </c>
      <c r="E353" s="5441" t="s">
        <v>2535</v>
      </c>
      <c r="F353" s="5441" t="s">
        <v>2369</v>
      </c>
      <c r="G353" s="5441" t="s">
        <v>28</v>
      </c>
      <c r="H353" s="5441" t="s">
        <v>28</v>
      </c>
      <c r="I353" s="5441" t="s">
        <v>908</v>
      </c>
    </row>
    <row customHeight="1" ht="11.25">
      <c r="A354" s="5441" t="s">
        <v>2251</v>
      </c>
      <c r="B354" s="5441" t="s">
        <v>16</v>
      </c>
      <c r="C354" s="5441" t="s">
        <v>2894</v>
      </c>
      <c r="D354" s="5441" t="s">
        <v>2895</v>
      </c>
      <c r="E354" s="5441" t="s">
        <v>2896</v>
      </c>
      <c r="F354" s="5441" t="s">
        <v>2312</v>
      </c>
      <c r="G354" s="5441" t="s">
        <v>2897</v>
      </c>
      <c r="H354" s="5441" t="s">
        <v>28</v>
      </c>
      <c r="I354" s="5441" t="s">
        <v>908</v>
      </c>
    </row>
    <row customHeight="1" ht="11.25">
      <c r="A355" s="5441" t="s">
        <v>2251</v>
      </c>
      <c r="B355" s="5441" t="s">
        <v>16</v>
      </c>
      <c r="C355" s="5441" t="s">
        <v>2898</v>
      </c>
      <c r="D355" s="5441" t="s">
        <v>2548</v>
      </c>
      <c r="E355" s="5441" t="s">
        <v>2899</v>
      </c>
      <c r="F355" s="5441" t="s">
        <v>2369</v>
      </c>
      <c r="G355" s="5441" t="s">
        <v>2900</v>
      </c>
      <c r="H355" s="5441" t="s">
        <v>28</v>
      </c>
      <c r="I355" s="5441" t="s">
        <v>908</v>
      </c>
    </row>
    <row customHeight="1" ht="11.25">
      <c r="A356" s="5441" t="s">
        <v>2251</v>
      </c>
      <c r="B356" s="5441" t="s">
        <v>16</v>
      </c>
      <c r="C356" s="5441" t="s">
        <v>2547</v>
      </c>
      <c r="D356" s="5441" t="s">
        <v>2548</v>
      </c>
      <c r="E356" s="5441" t="s">
        <v>2549</v>
      </c>
      <c r="F356" s="5441" t="s">
        <v>2369</v>
      </c>
      <c r="G356" s="5441" t="s">
        <v>2550</v>
      </c>
      <c r="H356" s="5441" t="s">
        <v>28</v>
      </c>
      <c r="I356" s="5441" t="s">
        <v>908</v>
      </c>
    </row>
    <row customHeight="1" ht="11.25">
      <c r="A357" s="5441" t="s">
        <v>2251</v>
      </c>
      <c r="B357" s="5441" t="s">
        <v>16</v>
      </c>
      <c r="C357" s="5441" t="s">
        <v>2554</v>
      </c>
      <c r="D357" s="5441" t="s">
        <v>2555</v>
      </c>
      <c r="E357" s="5441" t="s">
        <v>2556</v>
      </c>
      <c r="F357" s="5441" t="s">
        <v>2557</v>
      </c>
      <c r="G357" s="5441" t="s">
        <v>28</v>
      </c>
      <c r="H357" s="5441" t="s">
        <v>28</v>
      </c>
      <c r="I357" s="5441" t="s">
        <v>908</v>
      </c>
    </row>
    <row customHeight="1" ht="11.25">
      <c r="A358" s="5441" t="s">
        <v>2251</v>
      </c>
      <c r="B358" s="5441" t="s">
        <v>16</v>
      </c>
      <c r="C358" s="5441" t="s">
        <v>2809</v>
      </c>
      <c r="D358" s="5441" t="s">
        <v>2810</v>
      </c>
      <c r="E358" s="5441" t="s">
        <v>2811</v>
      </c>
      <c r="F358" s="5441" t="s">
        <v>2269</v>
      </c>
      <c r="G358" s="5441" t="s">
        <v>28</v>
      </c>
      <c r="H358" s="5441" t="s">
        <v>28</v>
      </c>
      <c r="I358" s="5441" t="s">
        <v>908</v>
      </c>
    </row>
    <row customHeight="1" ht="11.25">
      <c r="A359" s="5441" t="s">
        <v>2251</v>
      </c>
      <c r="B359" s="5441" t="s">
        <v>16</v>
      </c>
      <c r="C359" s="5441" t="s">
        <v>2582</v>
      </c>
      <c r="D359" s="5441" t="s">
        <v>2583</v>
      </c>
      <c r="E359" s="5441" t="s">
        <v>2584</v>
      </c>
      <c r="F359" s="5441" t="s">
        <v>2365</v>
      </c>
      <c r="G359" s="5441" t="s">
        <v>28</v>
      </c>
      <c r="H359" s="5441" t="s">
        <v>28</v>
      </c>
      <c r="I359" s="5441" t="s">
        <v>908</v>
      </c>
    </row>
    <row customHeight="1" ht="11.25">
      <c r="A360" s="5441" t="s">
        <v>2251</v>
      </c>
      <c r="B360" s="5441" t="s">
        <v>16</v>
      </c>
      <c r="C360" s="5441" t="s">
        <v>2818</v>
      </c>
      <c r="D360" s="5441" t="s">
        <v>2819</v>
      </c>
      <c r="E360" s="5441" t="s">
        <v>2820</v>
      </c>
      <c r="F360" s="5441" t="s">
        <v>2316</v>
      </c>
      <c r="G360" s="5441" t="s">
        <v>2821</v>
      </c>
      <c r="H360" s="5441" t="s">
        <v>28</v>
      </c>
      <c r="I360" s="5441" t="s">
        <v>908</v>
      </c>
    </row>
    <row customHeight="1" ht="11.25">
      <c r="A361" s="5441" t="s">
        <v>2251</v>
      </c>
      <c r="B361" s="5441" t="s">
        <v>16</v>
      </c>
      <c r="C361" s="5441" t="s">
        <v>2600</v>
      </c>
      <c r="D361" s="5441" t="s">
        <v>2601</v>
      </c>
      <c r="E361" s="5441" t="s">
        <v>2602</v>
      </c>
      <c r="F361" s="5441" t="s">
        <v>2369</v>
      </c>
      <c r="G361" s="5441" t="s">
        <v>2603</v>
      </c>
      <c r="H361" s="5441" t="s">
        <v>28</v>
      </c>
      <c r="I361" s="5441" t="s">
        <v>908</v>
      </c>
    </row>
    <row customHeight="1" ht="11.25">
      <c r="A362" s="5441" t="s">
        <v>2251</v>
      </c>
      <c r="B362" s="5441" t="s">
        <v>16</v>
      </c>
      <c r="C362" s="5441" t="s">
        <v>2604</v>
      </c>
      <c r="D362" s="5441" t="s">
        <v>2605</v>
      </c>
      <c r="E362" s="5441" t="s">
        <v>2606</v>
      </c>
      <c r="F362" s="5441" t="s">
        <v>2369</v>
      </c>
      <c r="G362" s="5441" t="s">
        <v>2607</v>
      </c>
      <c r="H362" s="5441" t="s">
        <v>28</v>
      </c>
      <c r="I362" s="5441" t="s">
        <v>908</v>
      </c>
    </row>
    <row customHeight="1" ht="11.25">
      <c r="A363" s="5441" t="s">
        <v>2251</v>
      </c>
      <c r="B363" s="5441" t="s">
        <v>16</v>
      </c>
      <c r="C363" s="5441" t="s">
        <v>2822</v>
      </c>
      <c r="D363" s="5441" t="s">
        <v>2823</v>
      </c>
      <c r="E363" s="5441" t="s">
        <v>2824</v>
      </c>
      <c r="F363" s="5441" t="s">
        <v>2825</v>
      </c>
      <c r="G363" s="5441" t="s">
        <v>28</v>
      </c>
      <c r="H363" s="5441" t="s">
        <v>28</v>
      </c>
      <c r="I363" s="5441" t="s">
        <v>908</v>
      </c>
    </row>
    <row customHeight="1" ht="11.25">
      <c r="A364" s="5441" t="s">
        <v>2251</v>
      </c>
      <c r="B364" s="5441" t="s">
        <v>16</v>
      </c>
      <c r="C364" s="5441" t="s">
        <v>2826</v>
      </c>
      <c r="D364" s="5441" t="s">
        <v>2827</v>
      </c>
      <c r="E364" s="5441" t="s">
        <v>2828</v>
      </c>
      <c r="F364" s="5441" t="s">
        <v>2408</v>
      </c>
      <c r="G364" s="5441" t="s">
        <v>2829</v>
      </c>
      <c r="H364" s="5441" t="s">
        <v>28</v>
      </c>
      <c r="I364" s="5441" t="s">
        <v>908</v>
      </c>
    </row>
    <row customHeight="1" ht="11.25">
      <c r="A365" s="5441" t="s">
        <v>2251</v>
      </c>
      <c r="B365" s="5441" t="s">
        <v>16</v>
      </c>
      <c r="C365" s="5441" t="s">
        <v>2630</v>
      </c>
      <c r="D365" s="5441" t="s">
        <v>2631</v>
      </c>
      <c r="E365" s="5441" t="s">
        <v>2632</v>
      </c>
      <c r="F365" s="5441" t="s">
        <v>2316</v>
      </c>
      <c r="G365" s="5441" t="s">
        <v>28</v>
      </c>
      <c r="H365" s="5441" t="s">
        <v>28</v>
      </c>
      <c r="I365" s="5441" t="s">
        <v>908</v>
      </c>
    </row>
    <row customHeight="1" ht="11.25">
      <c r="A366" s="5441" t="s">
        <v>2251</v>
      </c>
      <c r="B366" s="5441" t="s">
        <v>16</v>
      </c>
      <c r="C366" s="5441" t="s">
        <v>2633</v>
      </c>
      <c r="D366" s="5441" t="s">
        <v>2634</v>
      </c>
      <c r="E366" s="5441" t="s">
        <v>2635</v>
      </c>
      <c r="F366" s="5441" t="s">
        <v>2408</v>
      </c>
      <c r="G366" s="5441" t="s">
        <v>2636</v>
      </c>
      <c r="H366" s="5441" t="s">
        <v>28</v>
      </c>
      <c r="I366" s="5441" t="s">
        <v>908</v>
      </c>
    </row>
    <row customHeight="1" ht="11.25">
      <c r="A367" s="5441" t="s">
        <v>2251</v>
      </c>
      <c r="B367" s="5441" t="s">
        <v>16</v>
      </c>
      <c r="C367" s="5441" t="s">
        <v>2648</v>
      </c>
      <c r="D367" s="5441" t="s">
        <v>2649</v>
      </c>
      <c r="E367" s="5441" t="s">
        <v>2650</v>
      </c>
      <c r="F367" s="5441" t="s">
        <v>51</v>
      </c>
      <c r="G367" s="5441" t="s">
        <v>28</v>
      </c>
      <c r="H367" s="5441" t="s">
        <v>28</v>
      </c>
      <c r="I367" s="5441" t="s">
        <v>908</v>
      </c>
    </row>
    <row customHeight="1" ht="11.25">
      <c r="A368" s="5441" t="s">
        <v>2251</v>
      </c>
      <c r="B368" s="5441" t="s">
        <v>16</v>
      </c>
      <c r="C368" s="5441" t="s">
        <v>2830</v>
      </c>
      <c r="D368" s="5441" t="s">
        <v>2831</v>
      </c>
      <c r="E368" s="5441" t="s">
        <v>2832</v>
      </c>
      <c r="F368" s="5441" t="s">
        <v>2369</v>
      </c>
      <c r="G368" s="5441" t="s">
        <v>28</v>
      </c>
      <c r="H368" s="5441" t="s">
        <v>28</v>
      </c>
      <c r="I368" s="5441" t="s">
        <v>908</v>
      </c>
    </row>
    <row customHeight="1" ht="11.25">
      <c r="A369" s="5441" t="s">
        <v>2251</v>
      </c>
      <c r="B369" s="5441" t="s">
        <v>16</v>
      </c>
      <c r="C369" s="5441" t="s">
        <v>2837</v>
      </c>
      <c r="D369" s="5441" t="s">
        <v>2838</v>
      </c>
      <c r="E369" s="5441" t="s">
        <v>2839</v>
      </c>
      <c r="F369" s="5441" t="s">
        <v>51</v>
      </c>
      <c r="G369" s="5441" t="s">
        <v>2840</v>
      </c>
      <c r="H369" s="5441" t="s">
        <v>28</v>
      </c>
      <c r="I369" s="5441" t="s">
        <v>908</v>
      </c>
    </row>
    <row customHeight="1" ht="11.25">
      <c r="A370" s="5441" t="s">
        <v>2251</v>
      </c>
      <c r="B370" s="5441" t="s">
        <v>16</v>
      </c>
      <c r="C370" s="5441" t="s">
        <v>2663</v>
      </c>
      <c r="D370" s="5441" t="s">
        <v>2664</v>
      </c>
      <c r="E370" s="5441" t="s">
        <v>2665</v>
      </c>
      <c r="F370" s="5441" t="s">
        <v>2408</v>
      </c>
      <c r="G370" s="5441" t="s">
        <v>28</v>
      </c>
      <c r="H370" s="5441" t="s">
        <v>28</v>
      </c>
      <c r="I370" s="5441" t="s">
        <v>908</v>
      </c>
    </row>
    <row customHeight="1" ht="11.25">
      <c r="A371" s="5441" t="s">
        <v>2251</v>
      </c>
      <c r="B371" s="5441" t="s">
        <v>16</v>
      </c>
      <c r="C371" s="5441" t="s">
        <v>2901</v>
      </c>
      <c r="D371" s="5441" t="s">
        <v>2902</v>
      </c>
      <c r="E371" s="5441" t="s">
        <v>2903</v>
      </c>
      <c r="F371" s="5441" t="s">
        <v>2281</v>
      </c>
      <c r="G371" s="5441" t="s">
        <v>28</v>
      </c>
      <c r="H371" s="5441" t="s">
        <v>28</v>
      </c>
      <c r="I371" s="5441" t="s">
        <v>908</v>
      </c>
    </row>
    <row customHeight="1" ht="11.25">
      <c r="A372" s="5441" t="s">
        <v>2251</v>
      </c>
      <c r="B372" s="5441" t="s">
        <v>16</v>
      </c>
      <c r="C372" s="5441" t="s">
        <v>2669</v>
      </c>
      <c r="D372" s="5441" t="s">
        <v>2670</v>
      </c>
      <c r="E372" s="5441" t="s">
        <v>2671</v>
      </c>
      <c r="F372" s="5441" t="s">
        <v>2289</v>
      </c>
      <c r="G372" s="5441" t="s">
        <v>28</v>
      </c>
      <c r="H372" s="5441" t="s">
        <v>28</v>
      </c>
      <c r="I372" s="5441" t="s">
        <v>908</v>
      </c>
    </row>
    <row customHeight="1" ht="11.25">
      <c r="A373" s="5441" t="s">
        <v>2251</v>
      </c>
      <c r="B373" s="5441" t="s">
        <v>16</v>
      </c>
      <c r="C373" s="5441" t="s">
        <v>2672</v>
      </c>
      <c r="D373" s="5441" t="s">
        <v>2670</v>
      </c>
      <c r="E373" s="5441" t="s">
        <v>2671</v>
      </c>
      <c r="F373" s="5441" t="s">
        <v>2369</v>
      </c>
      <c r="G373" s="5441" t="s">
        <v>2673</v>
      </c>
      <c r="H373" s="5441" t="s">
        <v>28</v>
      </c>
      <c r="I373" s="5441" t="s">
        <v>908</v>
      </c>
    </row>
    <row customHeight="1" ht="11.25">
      <c r="A374" s="5441" t="s">
        <v>2251</v>
      </c>
      <c r="B374" s="5441" t="s">
        <v>16</v>
      </c>
      <c r="C374" s="5441" t="s">
        <v>2841</v>
      </c>
      <c r="D374" s="5441" t="s">
        <v>2842</v>
      </c>
      <c r="E374" s="5441" t="s">
        <v>2843</v>
      </c>
      <c r="F374" s="5441" t="s">
        <v>2844</v>
      </c>
      <c r="G374" s="5441" t="s">
        <v>2845</v>
      </c>
      <c r="H374" s="5441" t="s">
        <v>28</v>
      </c>
      <c r="I374" s="5441" t="s">
        <v>908</v>
      </c>
    </row>
    <row customHeight="1" ht="11.25">
      <c r="A375" s="5441" t="s">
        <v>2251</v>
      </c>
      <c r="B375" s="5441" t="s">
        <v>16</v>
      </c>
      <c r="C375" s="5441" t="s">
        <v>2849</v>
      </c>
      <c r="D375" s="5441" t="s">
        <v>2850</v>
      </c>
      <c r="E375" s="5441" t="s">
        <v>2851</v>
      </c>
      <c r="F375" s="5441" t="s">
        <v>2852</v>
      </c>
      <c r="G375" s="5441" t="s">
        <v>28</v>
      </c>
      <c r="H375" s="5441" t="s">
        <v>28</v>
      </c>
      <c r="I375" s="5441" t="s">
        <v>908</v>
      </c>
    </row>
    <row customHeight="1" ht="11.25">
      <c r="A376" s="5441" t="s">
        <v>2251</v>
      </c>
      <c r="B376" s="5441" t="s">
        <v>16</v>
      </c>
      <c r="C376" s="5441" t="s">
        <v>2678</v>
      </c>
      <c r="D376" s="5441" t="s">
        <v>2679</v>
      </c>
      <c r="E376" s="5441" t="s">
        <v>2680</v>
      </c>
      <c r="F376" s="5441" t="s">
        <v>2277</v>
      </c>
      <c r="G376" s="5441" t="s">
        <v>28</v>
      </c>
      <c r="H376" s="5441" t="s">
        <v>28</v>
      </c>
      <c r="I376" s="5441" t="s">
        <v>908</v>
      </c>
    </row>
    <row customHeight="1" ht="11.25">
      <c r="A377" s="5441" t="s">
        <v>2251</v>
      </c>
      <c r="B377" s="5441" t="s">
        <v>16</v>
      </c>
      <c r="C377" s="5441" t="s">
        <v>2684</v>
      </c>
      <c r="D377" s="5441" t="s">
        <v>2685</v>
      </c>
      <c r="E377" s="5441" t="s">
        <v>2686</v>
      </c>
      <c r="F377" s="5441" t="s">
        <v>2277</v>
      </c>
      <c r="G377" s="5441" t="s">
        <v>28</v>
      </c>
      <c r="H377" s="5441" t="s">
        <v>28</v>
      </c>
      <c r="I377" s="5441" t="s">
        <v>908</v>
      </c>
    </row>
    <row customHeight="1" ht="11.25">
      <c r="A378" s="5441" t="s">
        <v>2251</v>
      </c>
      <c r="B378" s="5441" t="s">
        <v>16</v>
      </c>
      <c r="C378" s="5441" t="s">
        <v>2853</v>
      </c>
      <c r="D378" s="5441" t="s">
        <v>2854</v>
      </c>
      <c r="E378" s="5441" t="s">
        <v>2855</v>
      </c>
      <c r="F378" s="5441" t="s">
        <v>2312</v>
      </c>
      <c r="G378" s="5441" t="s">
        <v>2856</v>
      </c>
      <c r="H378" s="5441" t="s">
        <v>28</v>
      </c>
      <c r="I378" s="5441" t="s">
        <v>908</v>
      </c>
    </row>
    <row customHeight="1" ht="11.25">
      <c r="A379" s="5441" t="s">
        <v>2251</v>
      </c>
      <c r="B379" s="5441" t="s">
        <v>16</v>
      </c>
      <c r="C379" s="5441" t="s">
        <v>2687</v>
      </c>
      <c r="D379" s="5441" t="s">
        <v>2688</v>
      </c>
      <c r="E379" s="5441" t="s">
        <v>2689</v>
      </c>
      <c r="F379" s="5441" t="s">
        <v>2281</v>
      </c>
      <c r="G379" s="5441" t="s">
        <v>28</v>
      </c>
      <c r="H379" s="5441" t="s">
        <v>28</v>
      </c>
      <c r="I379" s="5441" t="s">
        <v>908</v>
      </c>
    </row>
    <row customHeight="1" ht="11.25">
      <c r="A380" s="5441" t="s">
        <v>2251</v>
      </c>
      <c r="B380" s="5441" t="s">
        <v>16</v>
      </c>
      <c r="C380" s="5441" t="s">
        <v>2690</v>
      </c>
      <c r="D380" s="5441" t="s">
        <v>2688</v>
      </c>
      <c r="E380" s="5441" t="s">
        <v>2689</v>
      </c>
      <c r="F380" s="5441" t="s">
        <v>2691</v>
      </c>
      <c r="G380" s="5441" t="s">
        <v>28</v>
      </c>
      <c r="H380" s="5441" t="s">
        <v>28</v>
      </c>
      <c r="I380" s="5441" t="s">
        <v>908</v>
      </c>
    </row>
    <row customHeight="1" ht="11.25">
      <c r="A381" s="5441" t="s">
        <v>2251</v>
      </c>
      <c r="B381" s="5441" t="s">
        <v>16</v>
      </c>
      <c r="C381" s="5441" t="s">
        <v>2696</v>
      </c>
      <c r="D381" s="5441" t="s">
        <v>2697</v>
      </c>
      <c r="E381" s="5441" t="s">
        <v>2698</v>
      </c>
      <c r="F381" s="5441" t="s">
        <v>2699</v>
      </c>
      <c r="G381" s="5441" t="s">
        <v>28</v>
      </c>
      <c r="H381" s="5441" t="s">
        <v>28</v>
      </c>
      <c r="I381" s="5441" t="s">
        <v>908</v>
      </c>
    </row>
    <row customHeight="1" ht="11.25">
      <c r="A382" s="5441" t="s">
        <v>2251</v>
      </c>
      <c r="B382" s="5441" t="s">
        <v>16</v>
      </c>
      <c r="C382" s="5441" t="s">
        <v>2700</v>
      </c>
      <c r="D382" s="5441" t="s">
        <v>2701</v>
      </c>
      <c r="E382" s="5441" t="s">
        <v>2702</v>
      </c>
      <c r="F382" s="5441" t="s">
        <v>2312</v>
      </c>
      <c r="G382" s="5441" t="s">
        <v>28</v>
      </c>
      <c r="H382" s="5441" t="s">
        <v>28</v>
      </c>
      <c r="I382" s="5441" t="s">
        <v>908</v>
      </c>
    </row>
    <row customHeight="1" ht="11.25">
      <c r="A383" s="5441" t="s">
        <v>2251</v>
      </c>
      <c r="B383" s="5441" t="s">
        <v>16</v>
      </c>
      <c r="C383" s="5441" t="s">
        <v>2857</v>
      </c>
      <c r="D383" s="5441" t="s">
        <v>2858</v>
      </c>
      <c r="E383" s="5441" t="s">
        <v>2859</v>
      </c>
      <c r="F383" s="5441" t="s">
        <v>2289</v>
      </c>
      <c r="G383" s="5441" t="s">
        <v>28</v>
      </c>
      <c r="H383" s="5441" t="s">
        <v>28</v>
      </c>
      <c r="I383" s="5441" t="s">
        <v>908</v>
      </c>
    </row>
    <row customHeight="1" ht="11.25">
      <c r="A384" s="5441" t="s">
        <v>2251</v>
      </c>
      <c r="B384" s="5441" t="s">
        <v>16</v>
      </c>
      <c r="C384" s="5441" t="s">
        <v>2703</v>
      </c>
      <c r="D384" s="5441" t="s">
        <v>2704</v>
      </c>
      <c r="E384" s="5441" t="s">
        <v>2705</v>
      </c>
      <c r="F384" s="5441" t="s">
        <v>2706</v>
      </c>
      <c r="G384" s="5441" t="s">
        <v>28</v>
      </c>
      <c r="H384" s="5441" t="s">
        <v>28</v>
      </c>
      <c r="I384" s="5441" t="s">
        <v>908</v>
      </c>
    </row>
    <row customHeight="1" ht="11.25">
      <c r="A385" s="5441" t="s">
        <v>2251</v>
      </c>
      <c r="B385" s="5441" t="s">
        <v>16</v>
      </c>
      <c r="C385" s="5441" t="s">
        <v>2707</v>
      </c>
      <c r="D385" s="5441" t="s">
        <v>2708</v>
      </c>
      <c r="E385" s="5441" t="s">
        <v>2709</v>
      </c>
      <c r="F385" s="5441" t="s">
        <v>2710</v>
      </c>
      <c r="G385" s="5441" t="s">
        <v>28</v>
      </c>
      <c r="H385" s="5441" t="s">
        <v>28</v>
      </c>
      <c r="I385" s="5441" t="s">
        <v>908</v>
      </c>
    </row>
    <row customHeight="1" ht="11.25">
      <c r="A386" s="5441" t="s">
        <v>2251</v>
      </c>
      <c r="B386" s="5441" t="s">
        <v>16</v>
      </c>
      <c r="C386" s="5441" t="s">
        <v>2866</v>
      </c>
      <c r="D386" s="5441" t="s">
        <v>2867</v>
      </c>
      <c r="E386" s="5441" t="s">
        <v>2868</v>
      </c>
      <c r="F386" s="5441" t="s">
        <v>2408</v>
      </c>
      <c r="G386" s="5441" t="s">
        <v>28</v>
      </c>
      <c r="H386" s="5441" t="s">
        <v>28</v>
      </c>
      <c r="I386" s="5441" t="s">
        <v>908</v>
      </c>
    </row>
    <row customHeight="1" ht="11.25">
      <c r="A387" s="5441" t="s">
        <v>2251</v>
      </c>
      <c r="B387" s="5441" t="s">
        <v>16</v>
      </c>
      <c r="C387" s="5441" t="s">
        <v>2724</v>
      </c>
      <c r="D387" s="5441" t="s">
        <v>2725</v>
      </c>
      <c r="E387" s="5441" t="s">
        <v>2698</v>
      </c>
      <c r="F387" s="5441" t="s">
        <v>2726</v>
      </c>
      <c r="G387" s="5441" t="s">
        <v>2727</v>
      </c>
      <c r="H387" s="5441" t="s">
        <v>28</v>
      </c>
      <c r="I387" s="5441" t="s">
        <v>908</v>
      </c>
    </row>
    <row customHeight="1" ht="11.25">
      <c r="A388" s="5441" t="s">
        <v>2251</v>
      </c>
      <c r="B388" s="5441" t="s">
        <v>16</v>
      </c>
      <c r="C388" s="5441" t="s">
        <v>2732</v>
      </c>
      <c r="D388" s="5441" t="s">
        <v>2733</v>
      </c>
      <c r="E388" s="5441" t="s">
        <v>2734</v>
      </c>
      <c r="F388" s="5441" t="s">
        <v>2735</v>
      </c>
      <c r="G388" s="5441" t="s">
        <v>28</v>
      </c>
      <c r="H388" s="5441" t="s">
        <v>28</v>
      </c>
      <c r="I388" s="5441" t="s">
        <v>908</v>
      </c>
    </row>
    <row customHeight="1" ht="11.25">
      <c r="A389" s="5441" t="s">
        <v>2251</v>
      </c>
      <c r="B389" s="5441" t="s">
        <v>16</v>
      </c>
      <c r="C389" s="5441" t="s">
        <v>2290</v>
      </c>
      <c r="D389" s="5441" t="s">
        <v>2291</v>
      </c>
      <c r="E389" s="5441" t="s">
        <v>2292</v>
      </c>
      <c r="F389" s="5441" t="s">
        <v>2293</v>
      </c>
      <c r="G389" s="5441" t="s">
        <v>28</v>
      </c>
      <c r="H389" s="5441" t="s">
        <v>28</v>
      </c>
      <c r="I389" s="5441" t="s">
        <v>1624</v>
      </c>
    </row>
    <row customHeight="1" ht="11.25">
      <c r="A390" s="5441" t="s">
        <v>2251</v>
      </c>
      <c r="B390" s="5441" t="s">
        <v>16</v>
      </c>
      <c r="C390" s="5441" t="s">
        <v>2904</v>
      </c>
      <c r="D390" s="5441" t="s">
        <v>2905</v>
      </c>
      <c r="E390" s="5441" t="s">
        <v>2906</v>
      </c>
      <c r="F390" s="5441" t="s">
        <v>2369</v>
      </c>
      <c r="G390" s="5441" t="s">
        <v>28</v>
      </c>
      <c r="H390" s="5441" t="s">
        <v>28</v>
      </c>
      <c r="I390" s="5441" t="s">
        <v>1624</v>
      </c>
    </row>
    <row customHeight="1" ht="11.25">
      <c r="A391" s="5441" t="s">
        <v>2251</v>
      </c>
      <c r="B391" s="5441" t="s">
        <v>16</v>
      </c>
      <c r="C391" s="5441" t="s">
        <v>2907</v>
      </c>
      <c r="D391" s="5441" t="s">
        <v>2908</v>
      </c>
      <c r="E391" s="5441" t="s">
        <v>2909</v>
      </c>
      <c r="F391" s="5441" t="s">
        <v>2312</v>
      </c>
      <c r="G391" s="5441" t="s">
        <v>28</v>
      </c>
      <c r="H391" s="5441" t="s">
        <v>28</v>
      </c>
      <c r="I391" s="5441" t="s">
        <v>1624</v>
      </c>
    </row>
    <row customHeight="1" ht="11.25">
      <c r="A392" s="5441" t="s">
        <v>2251</v>
      </c>
      <c r="B392" s="5441" t="s">
        <v>16</v>
      </c>
      <c r="C392" s="5441" t="s">
        <v>2910</v>
      </c>
      <c r="D392" s="5441" t="s">
        <v>2911</v>
      </c>
      <c r="E392" s="5441" t="s">
        <v>2912</v>
      </c>
      <c r="F392" s="5441" t="s">
        <v>577</v>
      </c>
      <c r="G392" s="5441" t="s">
        <v>28</v>
      </c>
      <c r="H392" s="5441" t="s">
        <v>28</v>
      </c>
      <c r="I392" s="5441" t="s">
        <v>1624</v>
      </c>
    </row>
    <row customHeight="1" ht="11.25">
      <c r="A393" s="5441" t="s">
        <v>2251</v>
      </c>
      <c r="B393" s="5441" t="s">
        <v>16</v>
      </c>
      <c r="C393" s="5441" t="s">
        <v>2376</v>
      </c>
      <c r="D393" s="5441" t="s">
        <v>2377</v>
      </c>
      <c r="E393" s="5441" t="s">
        <v>2378</v>
      </c>
      <c r="F393" s="5441" t="s">
        <v>2379</v>
      </c>
      <c r="G393" s="5441" t="s">
        <v>28</v>
      </c>
      <c r="H393" s="5441" t="s">
        <v>28</v>
      </c>
      <c r="I393" s="5441" t="s">
        <v>1624</v>
      </c>
    </row>
    <row customHeight="1" ht="11.25">
      <c r="A394" s="5441" t="s">
        <v>2251</v>
      </c>
      <c r="B394" s="5441" t="s">
        <v>16</v>
      </c>
      <c r="C394" s="5441" t="s">
        <v>28</v>
      </c>
      <c r="D394" s="5441" t="s">
        <v>2380</v>
      </c>
      <c r="E394" s="5441" t="s">
        <v>2381</v>
      </c>
      <c r="F394" s="5441" t="s">
        <v>2312</v>
      </c>
      <c r="G394" s="5441" t="s">
        <v>28</v>
      </c>
      <c r="H394" s="5441" t="s">
        <v>28</v>
      </c>
      <c r="I394" s="5441" t="s">
        <v>1624</v>
      </c>
    </row>
    <row customHeight="1" ht="11.25">
      <c r="A395" s="5441" t="s">
        <v>2251</v>
      </c>
      <c r="B395" s="5441" t="s">
        <v>16</v>
      </c>
      <c r="C395" s="5441" t="s">
        <v>2389</v>
      </c>
      <c r="D395" s="5441" t="s">
        <v>2390</v>
      </c>
      <c r="E395" s="5441" t="s">
        <v>2391</v>
      </c>
      <c r="F395" s="5441" t="s">
        <v>2392</v>
      </c>
      <c r="G395" s="5441" t="s">
        <v>28</v>
      </c>
      <c r="H395" s="5441" t="s">
        <v>28</v>
      </c>
      <c r="I395" s="5441" t="s">
        <v>1624</v>
      </c>
    </row>
    <row customHeight="1" ht="11.25">
      <c r="A396" s="5441" t="s">
        <v>2251</v>
      </c>
      <c r="B396" s="5441" t="s">
        <v>16</v>
      </c>
      <c r="C396" s="5441" t="s">
        <v>2401</v>
      </c>
      <c r="D396" s="5441" t="s">
        <v>2402</v>
      </c>
      <c r="E396" s="5441" t="s">
        <v>2403</v>
      </c>
      <c r="F396" s="5441" t="s">
        <v>2404</v>
      </c>
      <c r="G396" s="5441" t="s">
        <v>28</v>
      </c>
      <c r="H396" s="5441" t="s">
        <v>28</v>
      </c>
      <c r="I396" s="5441" t="s">
        <v>1624</v>
      </c>
    </row>
    <row customHeight="1" ht="11.25">
      <c r="A397" s="5441" t="s">
        <v>2251</v>
      </c>
      <c r="B397" s="5441" t="s">
        <v>16</v>
      </c>
      <c r="C397" s="5441" t="s">
        <v>2913</v>
      </c>
      <c r="D397" s="5441" t="s">
        <v>2914</v>
      </c>
      <c r="E397" s="5441" t="s">
        <v>2915</v>
      </c>
      <c r="F397" s="5441" t="s">
        <v>2404</v>
      </c>
      <c r="G397" s="5441" t="s">
        <v>28</v>
      </c>
      <c r="H397" s="5441" t="s">
        <v>28</v>
      </c>
      <c r="I397" s="5441" t="s">
        <v>1624</v>
      </c>
    </row>
    <row customHeight="1" ht="11.25">
      <c r="A398" s="5441" t="s">
        <v>2251</v>
      </c>
      <c r="B398" s="5441" t="s">
        <v>16</v>
      </c>
      <c r="C398" s="5441" t="s">
        <v>2916</v>
      </c>
      <c r="D398" s="5441" t="s">
        <v>2917</v>
      </c>
      <c r="E398" s="5441" t="s">
        <v>2918</v>
      </c>
      <c r="F398" s="5441" t="s">
        <v>51</v>
      </c>
      <c r="G398" s="5441" t="s">
        <v>28</v>
      </c>
      <c r="H398" s="5441" t="s">
        <v>28</v>
      </c>
      <c r="I398" s="5441" t="s">
        <v>1624</v>
      </c>
    </row>
    <row customHeight="1" ht="11.25">
      <c r="A399" s="5441" t="s">
        <v>2251</v>
      </c>
      <c r="B399" s="5441" t="s">
        <v>16</v>
      </c>
      <c r="C399" s="5441" t="s">
        <v>2436</v>
      </c>
      <c r="D399" s="5441" t="s">
        <v>2437</v>
      </c>
      <c r="E399" s="5441" t="s">
        <v>2438</v>
      </c>
      <c r="F399" s="5441" t="s">
        <v>2439</v>
      </c>
      <c r="G399" s="5441" t="s">
        <v>28</v>
      </c>
      <c r="H399" s="5441" t="s">
        <v>28</v>
      </c>
      <c r="I399" s="5441" t="s">
        <v>1624</v>
      </c>
    </row>
    <row customHeight="1" ht="11.25">
      <c r="A400" s="5441" t="s">
        <v>2251</v>
      </c>
      <c r="B400" s="5441" t="s">
        <v>16</v>
      </c>
      <c r="C400" s="5441" t="s">
        <v>2919</v>
      </c>
      <c r="D400" s="5441" t="s">
        <v>2920</v>
      </c>
      <c r="E400" s="5441" t="s">
        <v>2921</v>
      </c>
      <c r="F400" s="5441" t="s">
        <v>2277</v>
      </c>
      <c r="G400" s="5441" t="s">
        <v>28</v>
      </c>
      <c r="H400" s="5441" t="s">
        <v>28</v>
      </c>
      <c r="I400" s="5441" t="s">
        <v>1624</v>
      </c>
    </row>
    <row customHeight="1" ht="11.25">
      <c r="A401" s="5441" t="s">
        <v>2251</v>
      </c>
      <c r="B401" s="5441" t="s">
        <v>16</v>
      </c>
      <c r="C401" s="5441" t="s">
        <v>2922</v>
      </c>
      <c r="D401" s="5441" t="s">
        <v>2923</v>
      </c>
      <c r="E401" s="5441" t="s">
        <v>2924</v>
      </c>
      <c r="F401" s="5441" t="s">
        <v>51</v>
      </c>
      <c r="G401" s="5441" t="s">
        <v>28</v>
      </c>
      <c r="H401" s="5441" t="s">
        <v>28</v>
      </c>
      <c r="I401" s="5441" t="s">
        <v>1624</v>
      </c>
    </row>
    <row customHeight="1" ht="11.25">
      <c r="A402" s="5441" t="s">
        <v>2251</v>
      </c>
      <c r="B402" s="5441" t="s">
        <v>16</v>
      </c>
      <c r="C402" s="5441" t="s">
        <v>2925</v>
      </c>
      <c r="D402" s="5441" t="s">
        <v>2926</v>
      </c>
      <c r="E402" s="5441" t="s">
        <v>2927</v>
      </c>
      <c r="F402" s="5441" t="s">
        <v>2404</v>
      </c>
      <c r="G402" s="5441" t="s">
        <v>2928</v>
      </c>
      <c r="H402" s="5441" t="s">
        <v>28</v>
      </c>
      <c r="I402" s="5441" t="s">
        <v>1624</v>
      </c>
    </row>
    <row customHeight="1" ht="11.25">
      <c r="A403" s="5441" t="s">
        <v>2251</v>
      </c>
      <c r="B403" s="5441" t="s">
        <v>16</v>
      </c>
      <c r="C403" s="5441" t="s">
        <v>2929</v>
      </c>
      <c r="D403" s="5441" t="s">
        <v>2930</v>
      </c>
      <c r="E403" s="5441" t="s">
        <v>2931</v>
      </c>
      <c r="F403" s="5441" t="s">
        <v>2289</v>
      </c>
      <c r="G403" s="5441" t="s">
        <v>28</v>
      </c>
      <c r="H403" s="5441" t="s">
        <v>28</v>
      </c>
      <c r="I403" s="5441" t="s">
        <v>1624</v>
      </c>
    </row>
    <row customHeight="1" ht="11.25">
      <c r="A404" s="5441" t="s">
        <v>2251</v>
      </c>
      <c r="B404" s="5441" t="s">
        <v>16</v>
      </c>
      <c r="C404" s="5441" t="s">
        <v>2932</v>
      </c>
      <c r="D404" s="5441" t="s">
        <v>2933</v>
      </c>
      <c r="E404" s="5441" t="s">
        <v>2934</v>
      </c>
      <c r="F404" s="5441" t="s">
        <v>2269</v>
      </c>
      <c r="G404" s="5441" t="s">
        <v>28</v>
      </c>
      <c r="H404" s="5441" t="s">
        <v>28</v>
      </c>
      <c r="I404" s="5441" t="s">
        <v>1624</v>
      </c>
    </row>
    <row customHeight="1" ht="11.25">
      <c r="A405" s="5441" t="s">
        <v>2251</v>
      </c>
      <c r="B405" s="5441" t="s">
        <v>16</v>
      </c>
      <c r="C405" s="5441" t="s">
        <v>2935</v>
      </c>
      <c r="D405" s="5441" t="s">
        <v>2936</v>
      </c>
      <c r="E405" s="5441" t="s">
        <v>2937</v>
      </c>
      <c r="F405" s="5441" t="s">
        <v>2938</v>
      </c>
      <c r="G405" s="5441" t="s">
        <v>2939</v>
      </c>
      <c r="H405" s="5441" t="s">
        <v>28</v>
      </c>
      <c r="I405" s="5441" t="s">
        <v>1624</v>
      </c>
    </row>
    <row customHeight="1" ht="11.25">
      <c r="A406" s="5441" t="s">
        <v>2251</v>
      </c>
      <c r="B406" s="5441" t="s">
        <v>16</v>
      </c>
      <c r="C406" s="5441" t="s">
        <v>2940</v>
      </c>
      <c r="D406" s="5441" t="s">
        <v>2941</v>
      </c>
      <c r="E406" s="5441" t="s">
        <v>2942</v>
      </c>
      <c r="F406" s="5441" t="s">
        <v>2289</v>
      </c>
      <c r="G406" s="5441" t="s">
        <v>28</v>
      </c>
      <c r="H406" s="5441" t="s">
        <v>28</v>
      </c>
      <c r="I406" s="5441" t="s">
        <v>1624</v>
      </c>
    </row>
    <row customHeight="1" ht="11.25">
      <c r="A407" s="5441" t="s">
        <v>2251</v>
      </c>
      <c r="B407" s="5441" t="s">
        <v>16</v>
      </c>
      <c r="C407" s="5441" t="s">
        <v>2943</v>
      </c>
      <c r="D407" s="5441" t="s">
        <v>2944</v>
      </c>
      <c r="E407" s="5441" t="s">
        <v>2945</v>
      </c>
      <c r="F407" s="5441" t="s">
        <v>2396</v>
      </c>
      <c r="G407" s="5441" t="s">
        <v>2946</v>
      </c>
      <c r="H407" s="5441" t="s">
        <v>28</v>
      </c>
      <c r="I407" s="5441" t="s">
        <v>1624</v>
      </c>
    </row>
    <row customHeight="1" ht="11.25">
      <c r="A408" s="5441" t="s">
        <v>2251</v>
      </c>
      <c r="B408" s="5441" t="s">
        <v>16</v>
      </c>
      <c r="C408" s="5441" t="s">
        <v>2947</v>
      </c>
      <c r="D408" s="5441" t="s">
        <v>2948</v>
      </c>
      <c r="E408" s="5441" t="s">
        <v>2949</v>
      </c>
      <c r="F408" s="5441" t="s">
        <v>2316</v>
      </c>
      <c r="G408" s="5441" t="s">
        <v>28</v>
      </c>
      <c r="H408" s="5441" t="s">
        <v>28</v>
      </c>
      <c r="I408" s="5441" t="s">
        <v>1624</v>
      </c>
    </row>
    <row customHeight="1" ht="11.25">
      <c r="A409" s="5441" t="s">
        <v>2251</v>
      </c>
      <c r="B409" s="5441" t="s">
        <v>16</v>
      </c>
      <c r="C409" s="5441" t="s">
        <v>2950</v>
      </c>
      <c r="D409" s="5441" t="s">
        <v>2951</v>
      </c>
      <c r="E409" s="5441" t="s">
        <v>2952</v>
      </c>
      <c r="F409" s="5441" t="s">
        <v>2289</v>
      </c>
      <c r="G409" s="5441" t="s">
        <v>2953</v>
      </c>
      <c r="H409" s="5441" t="s">
        <v>28</v>
      </c>
      <c r="I409" s="544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E6B76-CDAC-A092-6A65-44AAB66076C8}" mc:Ignorable="x14ac xr xr2 xr3">
  <sheetPr>
    <tabColor rgb="FFFFCC99"/>
  </sheetPr>
  <dimension ref="A1:G97"/>
  <sheetViews>
    <sheetView topLeftCell="A1" showGridLines="0" workbookViewId="0">
      <selection activeCell="A1" sqref="A1"/>
    </sheetView>
  </sheetViews>
  <sheetFormatPr customHeight="1" defaultRowHeight="11.25"/>
  <cols>
    <col min="1" max="1" style="11299" width="9.140625"/>
  </cols>
  <sheetData>
    <row customHeight="1" ht="11.25">
      <c r="A1" s="600" t="s">
        <v>2954</v>
      </c>
      <c r="B1" s="289" t="s">
        <v>2955</v>
      </c>
      <c r="C1" s="289" t="s">
        <v>2956</v>
      </c>
      <c r="D1" s="289" t="s">
        <v>2957</v>
      </c>
      <c r="E1" s="176" t="s">
        <v>2958</v>
      </c>
      <c r="F1" s="176" t="s">
        <v>2959</v>
      </c>
      <c r="G1" s="176" t="s">
        <v>2960</v>
      </c>
    </row>
    <row customHeight="1" ht="11.25">
      <c r="A2" s="600" t="s">
        <v>16</v>
      </c>
      <c r="B2" s="0" t="s">
        <v>2961</v>
      </c>
      <c r="C2" s="0" t="s">
        <v>2962</v>
      </c>
      <c r="D2" s="0" t="s">
        <v>2963</v>
      </c>
      <c r="E2" s="0" t="s">
        <v>2964</v>
      </c>
      <c r="F2" s="0" t="s">
        <v>2965</v>
      </c>
      <c r="G2" s="0" t="s">
        <v>108</v>
      </c>
    </row>
    <row customHeight="1" ht="11.25">
      <c r="A3" s="600" t="s">
        <v>16</v>
      </c>
      <c r="B3" s="0" t="s">
        <v>2961</v>
      </c>
      <c r="C3" s="0" t="s">
        <v>2962</v>
      </c>
      <c r="D3" s="0" t="s">
        <v>2961</v>
      </c>
      <c r="E3" s="0" t="s">
        <v>2962</v>
      </c>
      <c r="F3" s="0" t="s">
        <v>2966</v>
      </c>
      <c r="G3" s="0" t="s">
        <v>109</v>
      </c>
    </row>
    <row customHeight="1" ht="11.25">
      <c r="A4" s="600" t="s">
        <v>16</v>
      </c>
      <c r="B4" s="0" t="s">
        <v>2961</v>
      </c>
      <c r="C4" s="0" t="s">
        <v>2962</v>
      </c>
      <c r="D4" s="0" t="s">
        <v>2967</v>
      </c>
      <c r="E4" s="0" t="s">
        <v>2968</v>
      </c>
      <c r="F4" s="0" t="s">
        <v>2965</v>
      </c>
      <c r="G4" s="0" t="s">
        <v>89</v>
      </c>
    </row>
    <row customHeight="1" ht="11.25">
      <c r="A5" s="600" t="s">
        <v>16</v>
      </c>
      <c r="B5" s="0" t="s">
        <v>2961</v>
      </c>
      <c r="C5" s="0" t="s">
        <v>2962</v>
      </c>
      <c r="D5" s="0" t="s">
        <v>2969</v>
      </c>
      <c r="E5" s="0" t="s">
        <v>2970</v>
      </c>
      <c r="F5" s="0" t="s">
        <v>2965</v>
      </c>
      <c r="G5" s="0" t="s">
        <v>90</v>
      </c>
    </row>
    <row customHeight="1" ht="11.25">
      <c r="A6" s="600" t="s">
        <v>16</v>
      </c>
      <c r="B6" s="0" t="s">
        <v>2971</v>
      </c>
      <c r="C6" s="0" t="s">
        <v>2972</v>
      </c>
      <c r="D6" s="0" t="s">
        <v>2973</v>
      </c>
      <c r="E6" s="0" t="s">
        <v>2974</v>
      </c>
      <c r="F6" s="0" t="s">
        <v>2965</v>
      </c>
      <c r="G6" s="0" t="s">
        <v>110</v>
      </c>
    </row>
    <row customHeight="1" ht="11.25">
      <c r="A7" s="600" t="s">
        <v>16</v>
      </c>
      <c r="B7" s="0" t="s">
        <v>2971</v>
      </c>
      <c r="C7" s="0" t="s">
        <v>2972</v>
      </c>
      <c r="D7" s="0" t="s">
        <v>2971</v>
      </c>
      <c r="E7" s="0" t="s">
        <v>2972</v>
      </c>
      <c r="F7" s="0" t="s">
        <v>2966</v>
      </c>
      <c r="G7" s="0" t="s">
        <v>91</v>
      </c>
    </row>
    <row customHeight="1" ht="11.25">
      <c r="A8" s="600" t="s">
        <v>16</v>
      </c>
      <c r="B8" s="0" t="s">
        <v>2971</v>
      </c>
      <c r="C8" s="0" t="s">
        <v>2972</v>
      </c>
      <c r="D8" s="0" t="s">
        <v>2975</v>
      </c>
      <c r="E8" s="0" t="s">
        <v>2976</v>
      </c>
      <c r="F8" s="0" t="s">
        <v>2965</v>
      </c>
      <c r="G8" s="0" t="s">
        <v>92</v>
      </c>
    </row>
    <row customHeight="1" ht="11.25">
      <c r="A9" s="600" t="s">
        <v>16</v>
      </c>
      <c r="B9" s="0" t="s">
        <v>2971</v>
      </c>
      <c r="C9" s="0" t="s">
        <v>2972</v>
      </c>
      <c r="D9" s="0" t="s">
        <v>2977</v>
      </c>
      <c r="E9" s="0" t="s">
        <v>2978</v>
      </c>
      <c r="F9" s="0" t="s">
        <v>2965</v>
      </c>
      <c r="G9" s="0" t="s">
        <v>111</v>
      </c>
    </row>
    <row customHeight="1" ht="11.25">
      <c r="A10" s="600" t="s">
        <v>16</v>
      </c>
      <c r="B10" s="0" t="s">
        <v>2971</v>
      </c>
      <c r="C10" s="0" t="s">
        <v>2972</v>
      </c>
      <c r="D10" s="0" t="s">
        <v>2979</v>
      </c>
      <c r="E10" s="0" t="s">
        <v>2980</v>
      </c>
      <c r="F10" s="0" t="s">
        <v>2965</v>
      </c>
      <c r="G10" s="0" t="s">
        <v>147</v>
      </c>
    </row>
    <row customHeight="1" ht="11.25">
      <c r="A11" s="600" t="s">
        <v>16</v>
      </c>
      <c r="B11" s="0" t="s">
        <v>2971</v>
      </c>
      <c r="C11" s="0" t="s">
        <v>2972</v>
      </c>
      <c r="D11" s="0" t="s">
        <v>2981</v>
      </c>
      <c r="E11" s="0" t="s">
        <v>2982</v>
      </c>
      <c r="F11" s="0" t="s">
        <v>2965</v>
      </c>
      <c r="G11" s="0" t="s">
        <v>148</v>
      </c>
    </row>
    <row customHeight="1" ht="11.25">
      <c r="A12" s="600" t="s">
        <v>16</v>
      </c>
      <c r="B12" s="0" t="s">
        <v>2983</v>
      </c>
      <c r="C12" s="0" t="s">
        <v>2984</v>
      </c>
      <c r="D12" s="0" t="s">
        <v>2983</v>
      </c>
      <c r="E12" s="0" t="s">
        <v>2984</v>
      </c>
      <c r="F12" s="0" t="s">
        <v>2966</v>
      </c>
      <c r="G12" s="0" t="s">
        <v>149</v>
      </c>
    </row>
    <row customHeight="1" ht="11.25">
      <c r="A13" s="600" t="s">
        <v>16</v>
      </c>
      <c r="B13" s="0" t="s">
        <v>2983</v>
      </c>
      <c r="C13" s="0" t="s">
        <v>2984</v>
      </c>
      <c r="D13" s="0" t="s">
        <v>2985</v>
      </c>
      <c r="E13" s="0" t="s">
        <v>2986</v>
      </c>
      <c r="F13" s="0" t="s">
        <v>2965</v>
      </c>
      <c r="G13" s="0" t="s">
        <v>150</v>
      </c>
    </row>
    <row customHeight="1" ht="11.25">
      <c r="A14" s="600" t="s">
        <v>16</v>
      </c>
      <c r="B14" s="0" t="s">
        <v>2983</v>
      </c>
      <c r="C14" s="0" t="s">
        <v>2984</v>
      </c>
      <c r="D14" s="0" t="s">
        <v>2987</v>
      </c>
      <c r="E14" s="0" t="s">
        <v>2988</v>
      </c>
      <c r="F14" s="0" t="s">
        <v>2965</v>
      </c>
      <c r="G14" s="0" t="s">
        <v>151</v>
      </c>
    </row>
    <row customHeight="1" ht="11.25">
      <c r="A15" s="600" t="s">
        <v>16</v>
      </c>
      <c r="B15" s="0" t="s">
        <v>2983</v>
      </c>
      <c r="C15" s="0" t="s">
        <v>2984</v>
      </c>
      <c r="D15" s="0" t="s">
        <v>2989</v>
      </c>
      <c r="E15" s="0" t="s">
        <v>2990</v>
      </c>
      <c r="F15" s="0" t="s">
        <v>2965</v>
      </c>
      <c r="G15" s="0" t="s">
        <v>152</v>
      </c>
    </row>
    <row customHeight="1" ht="11.25">
      <c r="A16" s="600" t="s">
        <v>16</v>
      </c>
      <c r="B16" s="0" t="s">
        <v>2991</v>
      </c>
      <c r="C16" s="0" t="s">
        <v>2992</v>
      </c>
      <c r="D16" s="0" t="s">
        <v>2993</v>
      </c>
      <c r="E16" s="0" t="s">
        <v>2994</v>
      </c>
      <c r="F16" s="0" t="s">
        <v>2965</v>
      </c>
      <c r="G16" s="0" t="s">
        <v>1468</v>
      </c>
    </row>
    <row customHeight="1" ht="11.25">
      <c r="A17" s="600" t="s">
        <v>16</v>
      </c>
      <c r="B17" s="0" t="s">
        <v>2991</v>
      </c>
      <c r="C17" s="0" t="s">
        <v>2992</v>
      </c>
      <c r="D17" s="0" t="s">
        <v>2991</v>
      </c>
      <c r="E17" s="0" t="s">
        <v>2992</v>
      </c>
      <c r="F17" s="0" t="s">
        <v>2966</v>
      </c>
      <c r="G17" s="0" t="s">
        <v>1474</v>
      </c>
    </row>
    <row customHeight="1" ht="11.25">
      <c r="A18" s="600" t="s">
        <v>16</v>
      </c>
      <c r="B18" s="0" t="s">
        <v>2991</v>
      </c>
      <c r="C18" s="0" t="s">
        <v>2992</v>
      </c>
      <c r="D18" s="0" t="s">
        <v>2995</v>
      </c>
      <c r="E18" s="0" t="s">
        <v>2996</v>
      </c>
      <c r="F18" s="0" t="s">
        <v>2997</v>
      </c>
      <c r="G18" s="0" t="s">
        <v>1486</v>
      </c>
    </row>
    <row customHeight="1" ht="11.25">
      <c r="A19" s="600" t="s">
        <v>16</v>
      </c>
      <c r="B19" s="0" t="s">
        <v>2991</v>
      </c>
      <c r="C19" s="0" t="s">
        <v>2992</v>
      </c>
      <c r="D19" s="0" t="s">
        <v>2998</v>
      </c>
      <c r="E19" s="0" t="s">
        <v>2999</v>
      </c>
      <c r="F19" s="0" t="s">
        <v>2965</v>
      </c>
      <c r="G19" s="0" t="s">
        <v>1500</v>
      </c>
    </row>
    <row customHeight="1" ht="11.25">
      <c r="A20" s="600" t="s">
        <v>16</v>
      </c>
      <c r="B20" s="0" t="s">
        <v>2991</v>
      </c>
      <c r="C20" s="0" t="s">
        <v>2992</v>
      </c>
      <c r="D20" s="0" t="s">
        <v>3000</v>
      </c>
      <c r="E20" s="0" t="s">
        <v>3001</v>
      </c>
      <c r="F20" s="0" t="s">
        <v>2965</v>
      </c>
      <c r="G20" s="0" t="s">
        <v>1512</v>
      </c>
    </row>
    <row customHeight="1" ht="11.25">
      <c r="A21" s="600" t="s">
        <v>16</v>
      </c>
      <c r="B21" s="0" t="s">
        <v>2991</v>
      </c>
      <c r="C21" s="0" t="s">
        <v>2992</v>
      </c>
      <c r="D21" s="0" t="s">
        <v>3002</v>
      </c>
      <c r="E21" s="0" t="s">
        <v>3003</v>
      </c>
      <c r="F21" s="0" t="s">
        <v>2965</v>
      </c>
      <c r="G21" s="0" t="s">
        <v>1521</v>
      </c>
    </row>
    <row customHeight="1" ht="11.25">
      <c r="A22" s="600" t="s">
        <v>16</v>
      </c>
      <c r="B22" s="0" t="s">
        <v>3004</v>
      </c>
      <c r="C22" s="0" t="s">
        <v>3005</v>
      </c>
      <c r="D22" s="0" t="s">
        <v>3006</v>
      </c>
      <c r="E22" s="0" t="s">
        <v>3007</v>
      </c>
      <c r="F22" s="0" t="s">
        <v>2997</v>
      </c>
      <c r="G22" s="0" t="s">
        <v>1537</v>
      </c>
    </row>
    <row customHeight="1" ht="11.25">
      <c r="A23" s="600" t="s">
        <v>16</v>
      </c>
      <c r="B23" s="0" t="s">
        <v>3004</v>
      </c>
      <c r="C23" s="0" t="s">
        <v>3005</v>
      </c>
      <c r="D23" s="0" t="s">
        <v>3004</v>
      </c>
      <c r="E23" s="0" t="s">
        <v>3005</v>
      </c>
      <c r="F23" s="0" t="s">
        <v>2966</v>
      </c>
      <c r="G23" s="0" t="s">
        <v>1544</v>
      </c>
    </row>
    <row customHeight="1" ht="11.25">
      <c r="A24" s="600" t="s">
        <v>16</v>
      </c>
      <c r="B24" s="0" t="s">
        <v>3004</v>
      </c>
      <c r="C24" s="0" t="s">
        <v>3005</v>
      </c>
      <c r="D24" s="0" t="s">
        <v>3008</v>
      </c>
      <c r="E24" s="0" t="s">
        <v>3009</v>
      </c>
      <c r="F24" s="0" t="s">
        <v>2965</v>
      </c>
      <c r="G24" s="0" t="s">
        <v>1552</v>
      </c>
    </row>
    <row customHeight="1" ht="11.25">
      <c r="A25" s="600" t="s">
        <v>16</v>
      </c>
      <c r="B25" s="0" t="s">
        <v>3004</v>
      </c>
      <c r="C25" s="0" t="s">
        <v>3005</v>
      </c>
      <c r="D25" s="0" t="s">
        <v>3010</v>
      </c>
      <c r="E25" s="0" t="s">
        <v>3011</v>
      </c>
      <c r="F25" s="0" t="s">
        <v>2965</v>
      </c>
      <c r="G25" s="0" t="s">
        <v>1559</v>
      </c>
    </row>
    <row customHeight="1" ht="11.25">
      <c r="A26" s="600" t="s">
        <v>16</v>
      </c>
      <c r="B26" s="0" t="s">
        <v>3004</v>
      </c>
      <c r="C26" s="0" t="s">
        <v>3005</v>
      </c>
      <c r="D26" s="0" t="s">
        <v>3012</v>
      </c>
      <c r="E26" s="0" t="s">
        <v>3013</v>
      </c>
      <c r="F26" s="0" t="s">
        <v>2965</v>
      </c>
      <c r="G26" s="0" t="s">
        <v>1563</v>
      </c>
    </row>
    <row customHeight="1" ht="11.25">
      <c r="A27" s="600" t="s">
        <v>16</v>
      </c>
      <c r="B27" s="0" t="s">
        <v>3014</v>
      </c>
      <c r="C27" s="0" t="s">
        <v>3015</v>
      </c>
      <c r="D27" s="0" t="s">
        <v>3016</v>
      </c>
      <c r="E27" s="0" t="s">
        <v>3017</v>
      </c>
      <c r="F27" s="0" t="s">
        <v>2965</v>
      </c>
      <c r="G27" s="0" t="s">
        <v>1568</v>
      </c>
    </row>
    <row customHeight="1" ht="11.25">
      <c r="A28" s="600" t="s">
        <v>16</v>
      </c>
      <c r="B28" s="0" t="s">
        <v>3014</v>
      </c>
      <c r="C28" s="0" t="s">
        <v>3015</v>
      </c>
      <c r="D28" s="0" t="s">
        <v>3018</v>
      </c>
      <c r="E28" s="0" t="s">
        <v>3019</v>
      </c>
      <c r="F28" s="0" t="s">
        <v>2997</v>
      </c>
      <c r="G28" s="0" t="s">
        <v>1576</v>
      </c>
    </row>
    <row customHeight="1" ht="11.25">
      <c r="A29" s="600" t="s">
        <v>16</v>
      </c>
      <c r="B29" s="0" t="s">
        <v>3014</v>
      </c>
      <c r="C29" s="0" t="s">
        <v>3015</v>
      </c>
      <c r="D29" s="0" t="s">
        <v>3020</v>
      </c>
      <c r="E29" s="0" t="s">
        <v>3021</v>
      </c>
      <c r="F29" s="0" t="s">
        <v>2965</v>
      </c>
      <c r="G29" s="0" t="s">
        <v>1578</v>
      </c>
    </row>
    <row customHeight="1" ht="11.25">
      <c r="A30" s="600" t="s">
        <v>16</v>
      </c>
      <c r="B30" s="0" t="s">
        <v>3014</v>
      </c>
      <c r="C30" s="0" t="s">
        <v>3015</v>
      </c>
      <c r="D30" s="0" t="s">
        <v>3014</v>
      </c>
      <c r="E30" s="0" t="s">
        <v>3015</v>
      </c>
      <c r="F30" s="0" t="s">
        <v>2966</v>
      </c>
      <c r="G30" s="0" t="s">
        <v>1581</v>
      </c>
    </row>
    <row customHeight="1" ht="11.25">
      <c r="A31" s="600" t="s">
        <v>16</v>
      </c>
      <c r="B31" s="0" t="s">
        <v>3014</v>
      </c>
      <c r="C31" s="0" t="s">
        <v>3015</v>
      </c>
      <c r="D31" s="0" t="s">
        <v>3022</v>
      </c>
      <c r="E31" s="0" t="s">
        <v>3023</v>
      </c>
      <c r="F31" s="0" t="s">
        <v>2965</v>
      </c>
      <c r="G31" s="0" t="s">
        <v>1586</v>
      </c>
    </row>
    <row customHeight="1" ht="11.25">
      <c r="A32" s="600" t="s">
        <v>16</v>
      </c>
      <c r="B32" s="0" t="s">
        <v>3024</v>
      </c>
      <c r="C32" s="0" t="s">
        <v>3025</v>
      </c>
      <c r="D32" s="0" t="s">
        <v>3026</v>
      </c>
      <c r="E32" s="0" t="s">
        <v>3027</v>
      </c>
      <c r="F32" s="0" t="s">
        <v>2997</v>
      </c>
      <c r="G32" s="0" t="s">
        <v>1588</v>
      </c>
    </row>
    <row customHeight="1" ht="11.25">
      <c r="A33" s="600" t="s">
        <v>16</v>
      </c>
      <c r="B33" s="0" t="s">
        <v>3024</v>
      </c>
      <c r="C33" s="0" t="s">
        <v>3025</v>
      </c>
      <c r="D33" s="0" t="s">
        <v>3024</v>
      </c>
      <c r="E33" s="0" t="s">
        <v>3025</v>
      </c>
      <c r="F33" s="0" t="s">
        <v>2966</v>
      </c>
      <c r="G33" s="0" t="s">
        <v>1590</v>
      </c>
    </row>
    <row customHeight="1" ht="11.25">
      <c r="A34" s="600" t="s">
        <v>16</v>
      </c>
      <c r="B34" s="0" t="s">
        <v>3024</v>
      </c>
      <c r="C34" s="0" t="s">
        <v>3025</v>
      </c>
      <c r="D34" s="0" t="s">
        <v>3028</v>
      </c>
      <c r="E34" s="0" t="s">
        <v>3029</v>
      </c>
      <c r="F34" s="0" t="s">
        <v>2965</v>
      </c>
      <c r="G34" s="0" t="s">
        <v>1592</v>
      </c>
    </row>
    <row customHeight="1" ht="11.25">
      <c r="A35" s="600" t="s">
        <v>16</v>
      </c>
      <c r="B35" s="0" t="s">
        <v>3024</v>
      </c>
      <c r="C35" s="0" t="s">
        <v>3025</v>
      </c>
      <c r="D35" s="0" t="s">
        <v>3030</v>
      </c>
      <c r="E35" s="0" t="s">
        <v>3031</v>
      </c>
      <c r="F35" s="0" t="s">
        <v>2965</v>
      </c>
      <c r="G35" s="0" t="s">
        <v>1597</v>
      </c>
    </row>
    <row customHeight="1" ht="11.25">
      <c r="A36" s="600" t="s">
        <v>16</v>
      </c>
      <c r="B36" s="0" t="s">
        <v>3032</v>
      </c>
      <c r="C36" s="0" t="s">
        <v>3033</v>
      </c>
      <c r="D36" s="0" t="s">
        <v>3034</v>
      </c>
      <c r="E36" s="0" t="s">
        <v>3035</v>
      </c>
      <c r="F36" s="0" t="s">
        <v>2965</v>
      </c>
      <c r="G36" s="0" t="s">
        <v>1602</v>
      </c>
    </row>
    <row customHeight="1" ht="11.25">
      <c r="A37" s="600" t="s">
        <v>16</v>
      </c>
      <c r="B37" s="0" t="s">
        <v>3032</v>
      </c>
      <c r="C37" s="0" t="s">
        <v>3033</v>
      </c>
      <c r="D37" s="0" t="s">
        <v>3036</v>
      </c>
      <c r="E37" s="0" t="s">
        <v>3037</v>
      </c>
      <c r="F37" s="0" t="s">
        <v>2965</v>
      </c>
      <c r="G37" s="0" t="s">
        <v>1606</v>
      </c>
    </row>
    <row customHeight="1" ht="11.25">
      <c r="A38" s="600" t="s">
        <v>16</v>
      </c>
      <c r="B38" s="0" t="s">
        <v>3032</v>
      </c>
      <c r="C38" s="0" t="s">
        <v>3033</v>
      </c>
      <c r="D38" s="0" t="s">
        <v>3032</v>
      </c>
      <c r="E38" s="0" t="s">
        <v>3033</v>
      </c>
      <c r="F38" s="0" t="s">
        <v>2966</v>
      </c>
      <c r="G38" s="0" t="s">
        <v>1614</v>
      </c>
    </row>
    <row customHeight="1" ht="11.25">
      <c r="A39" s="600" t="s">
        <v>16</v>
      </c>
      <c r="B39" s="0" t="s">
        <v>3032</v>
      </c>
      <c r="C39" s="0" t="s">
        <v>3033</v>
      </c>
      <c r="D39" s="0" t="s">
        <v>3038</v>
      </c>
      <c r="E39" s="0" t="s">
        <v>3039</v>
      </c>
      <c r="F39" s="0" t="s">
        <v>2965</v>
      </c>
      <c r="G39" s="0" t="s">
        <v>1620</v>
      </c>
    </row>
    <row customHeight="1" ht="11.25">
      <c r="A40" s="600" t="s">
        <v>16</v>
      </c>
      <c r="B40" s="0" t="s">
        <v>3032</v>
      </c>
      <c r="C40" s="0" t="s">
        <v>3033</v>
      </c>
      <c r="D40" s="0" t="s">
        <v>3040</v>
      </c>
      <c r="E40" s="0" t="s">
        <v>3041</v>
      </c>
      <c r="F40" s="0" t="s">
        <v>2965</v>
      </c>
      <c r="G40" s="0" t="s">
        <v>1625</v>
      </c>
    </row>
    <row customHeight="1" ht="11.25">
      <c r="A41" s="600" t="s">
        <v>16</v>
      </c>
      <c r="B41" s="0" t="s">
        <v>3042</v>
      </c>
      <c r="C41" s="0" t="s">
        <v>3043</v>
      </c>
      <c r="D41" s="0" t="s">
        <v>3044</v>
      </c>
      <c r="E41" s="0" t="s">
        <v>3045</v>
      </c>
      <c r="F41" s="0" t="s">
        <v>2965</v>
      </c>
      <c r="G41" s="0" t="s">
        <v>1629</v>
      </c>
    </row>
    <row customHeight="1" ht="11.25">
      <c r="A42" s="600" t="s">
        <v>16</v>
      </c>
      <c r="B42" s="0" t="s">
        <v>3042</v>
      </c>
      <c r="C42" s="0" t="s">
        <v>3043</v>
      </c>
      <c r="D42" s="0" t="s">
        <v>3046</v>
      </c>
      <c r="E42" s="0" t="s">
        <v>3047</v>
      </c>
      <c r="F42" s="0" t="s">
        <v>2965</v>
      </c>
      <c r="G42" s="0" t="s">
        <v>1632</v>
      </c>
    </row>
    <row customHeight="1" ht="11.25">
      <c r="A43" s="600" t="s">
        <v>16</v>
      </c>
      <c r="B43" s="0" t="s">
        <v>3042</v>
      </c>
      <c r="C43" s="0" t="s">
        <v>3043</v>
      </c>
      <c r="D43" s="0" t="s">
        <v>3042</v>
      </c>
      <c r="E43" s="0" t="s">
        <v>3043</v>
      </c>
      <c r="F43" s="0" t="s">
        <v>2966</v>
      </c>
      <c r="G43" s="0" t="s">
        <v>1639</v>
      </c>
    </row>
    <row customHeight="1" ht="11.25">
      <c r="A44" s="600" t="s">
        <v>16</v>
      </c>
      <c r="B44" s="0" t="s">
        <v>3042</v>
      </c>
      <c r="C44" s="0" t="s">
        <v>3043</v>
      </c>
      <c r="D44" s="0" t="s">
        <v>3048</v>
      </c>
      <c r="E44" s="0" t="s">
        <v>3049</v>
      </c>
      <c r="F44" s="0" t="s">
        <v>2965</v>
      </c>
      <c r="G44" s="0" t="s">
        <v>1648</v>
      </c>
    </row>
    <row customHeight="1" ht="11.25">
      <c r="A45" s="600" t="s">
        <v>16</v>
      </c>
      <c r="B45" s="0" t="s">
        <v>3050</v>
      </c>
      <c r="C45" s="0" t="s">
        <v>3051</v>
      </c>
      <c r="D45" s="0" t="s">
        <v>3052</v>
      </c>
      <c r="E45" s="0" t="s">
        <v>3053</v>
      </c>
      <c r="F45" s="0" t="s">
        <v>3054</v>
      </c>
      <c r="G45" s="0" t="s">
        <v>1653</v>
      </c>
    </row>
    <row customHeight="1" ht="11.25">
      <c r="A46" s="600" t="s">
        <v>16</v>
      </c>
      <c r="B46" s="0" t="s">
        <v>3050</v>
      </c>
      <c r="C46" s="0" t="s">
        <v>3051</v>
      </c>
      <c r="D46" s="0" t="s">
        <v>3055</v>
      </c>
      <c r="E46" s="0" t="s">
        <v>3056</v>
      </c>
      <c r="F46" s="0" t="s">
        <v>2965</v>
      </c>
      <c r="G46" s="0" t="s">
        <v>1657</v>
      </c>
    </row>
    <row customHeight="1" ht="11.25">
      <c r="A47" s="600" t="s">
        <v>16</v>
      </c>
      <c r="B47" s="0" t="s">
        <v>3050</v>
      </c>
      <c r="C47" s="0" t="s">
        <v>3051</v>
      </c>
      <c r="D47" s="0" t="s">
        <v>3050</v>
      </c>
      <c r="E47" s="0" t="s">
        <v>3051</v>
      </c>
      <c r="F47" s="0" t="s">
        <v>2966</v>
      </c>
      <c r="G47" s="0" t="s">
        <v>1663</v>
      </c>
    </row>
    <row customHeight="1" ht="11.25">
      <c r="A48" s="600" t="s">
        <v>16</v>
      </c>
      <c r="B48" s="0" t="s">
        <v>3050</v>
      </c>
      <c r="C48" s="0" t="s">
        <v>3051</v>
      </c>
      <c r="D48" s="0" t="s">
        <v>3057</v>
      </c>
      <c r="E48" s="0" t="s">
        <v>3058</v>
      </c>
      <c r="F48" s="0" t="s">
        <v>2965</v>
      </c>
      <c r="G48" s="0" t="s">
        <v>1668</v>
      </c>
    </row>
    <row customHeight="1" ht="11.25">
      <c r="A49" s="600" t="s">
        <v>16</v>
      </c>
      <c r="B49" s="0" t="s">
        <v>3059</v>
      </c>
      <c r="C49" s="0" t="s">
        <v>3060</v>
      </c>
      <c r="D49" s="0" t="s">
        <v>3061</v>
      </c>
      <c r="E49" s="0" t="s">
        <v>3062</v>
      </c>
      <c r="F49" s="0" t="s">
        <v>2965</v>
      </c>
      <c r="G49" s="0" t="s">
        <v>1671</v>
      </c>
    </row>
    <row customHeight="1" ht="11.25">
      <c r="A50" s="600" t="s">
        <v>16</v>
      </c>
      <c r="B50" s="0" t="s">
        <v>3059</v>
      </c>
      <c r="C50" s="0" t="s">
        <v>3060</v>
      </c>
      <c r="D50" s="0" t="s">
        <v>3063</v>
      </c>
      <c r="E50" s="0" t="s">
        <v>3064</v>
      </c>
      <c r="F50" s="0" t="s">
        <v>2997</v>
      </c>
      <c r="G50" s="0" t="s">
        <v>1674</v>
      </c>
    </row>
    <row customHeight="1" ht="11.25">
      <c r="A51" s="600" t="s">
        <v>16</v>
      </c>
      <c r="B51" s="0" t="s">
        <v>3059</v>
      </c>
      <c r="C51" s="0" t="s">
        <v>3060</v>
      </c>
      <c r="D51" s="0" t="s">
        <v>3020</v>
      </c>
      <c r="E51" s="0" t="s">
        <v>3065</v>
      </c>
      <c r="F51" s="0" t="s">
        <v>2965</v>
      </c>
      <c r="G51" s="0" t="s">
        <v>1679</v>
      </c>
    </row>
    <row customHeight="1" ht="11.25">
      <c r="A52" s="600" t="s">
        <v>16</v>
      </c>
      <c r="B52" s="0" t="s">
        <v>3059</v>
      </c>
      <c r="C52" s="0" t="s">
        <v>3060</v>
      </c>
      <c r="D52" s="0" t="s">
        <v>3066</v>
      </c>
      <c r="E52" s="0" t="s">
        <v>3067</v>
      </c>
      <c r="F52" s="0" t="s">
        <v>2965</v>
      </c>
      <c r="G52" s="0" t="s">
        <v>1683</v>
      </c>
    </row>
    <row customHeight="1" ht="11.25">
      <c r="A53" s="600" t="s">
        <v>16</v>
      </c>
      <c r="B53" s="0" t="s">
        <v>3059</v>
      </c>
      <c r="C53" s="0" t="s">
        <v>3060</v>
      </c>
      <c r="D53" s="0" t="s">
        <v>3059</v>
      </c>
      <c r="E53" s="0" t="s">
        <v>3060</v>
      </c>
      <c r="F53" s="0" t="s">
        <v>2966</v>
      </c>
      <c r="G53" s="0" t="s">
        <v>1685</v>
      </c>
    </row>
    <row customHeight="1" ht="11.25">
      <c r="A54" s="600" t="s">
        <v>16</v>
      </c>
      <c r="B54" s="0" t="s">
        <v>3059</v>
      </c>
      <c r="C54" s="0" t="s">
        <v>3060</v>
      </c>
      <c r="D54" s="0" t="s">
        <v>3068</v>
      </c>
      <c r="E54" s="0" t="s">
        <v>3069</v>
      </c>
      <c r="F54" s="0" t="s">
        <v>2965</v>
      </c>
      <c r="G54" s="0" t="s">
        <v>1688</v>
      </c>
    </row>
    <row customHeight="1" ht="11.25">
      <c r="A55" s="600" t="s">
        <v>16</v>
      </c>
      <c r="B55" s="0" t="s">
        <v>3070</v>
      </c>
      <c r="C55" s="0" t="s">
        <v>3071</v>
      </c>
      <c r="D55" s="0" t="s">
        <v>3072</v>
      </c>
      <c r="E55" s="0" t="s">
        <v>3073</v>
      </c>
      <c r="F55" s="0" t="s">
        <v>2997</v>
      </c>
      <c r="G55" s="0" t="s">
        <v>1692</v>
      </c>
    </row>
    <row customHeight="1" ht="11.25">
      <c r="A56" s="600" t="s">
        <v>16</v>
      </c>
      <c r="B56" s="0" t="s">
        <v>3070</v>
      </c>
      <c r="C56" s="0" t="s">
        <v>3071</v>
      </c>
      <c r="D56" s="0" t="s">
        <v>3074</v>
      </c>
      <c r="E56" s="0" t="s">
        <v>3075</v>
      </c>
      <c r="F56" s="0" t="s">
        <v>2965</v>
      </c>
      <c r="G56" s="0" t="s">
        <v>1695</v>
      </c>
    </row>
    <row customHeight="1" ht="11.25">
      <c r="A57" s="600" t="s">
        <v>16</v>
      </c>
      <c r="B57" s="0" t="s">
        <v>3070</v>
      </c>
      <c r="C57" s="0" t="s">
        <v>3071</v>
      </c>
      <c r="D57" s="0" t="s">
        <v>3076</v>
      </c>
      <c r="E57" s="0" t="s">
        <v>3077</v>
      </c>
      <c r="F57" s="0" t="s">
        <v>2965</v>
      </c>
      <c r="G57" s="0" t="s">
        <v>1698</v>
      </c>
    </row>
    <row customHeight="1" ht="11.25">
      <c r="A58" s="600" t="s">
        <v>16</v>
      </c>
      <c r="B58" s="0" t="s">
        <v>3070</v>
      </c>
      <c r="C58" s="0" t="s">
        <v>3071</v>
      </c>
      <c r="D58" s="0" t="s">
        <v>3078</v>
      </c>
      <c r="E58" s="0" t="s">
        <v>3079</v>
      </c>
      <c r="F58" s="0" t="s">
        <v>2965</v>
      </c>
      <c r="G58" s="0" t="s">
        <v>1701</v>
      </c>
    </row>
    <row customHeight="1" ht="11.25">
      <c r="A59" s="600" t="s">
        <v>16</v>
      </c>
      <c r="B59" s="0" t="s">
        <v>3070</v>
      </c>
      <c r="C59" s="0" t="s">
        <v>3071</v>
      </c>
      <c r="D59" s="0" t="s">
        <v>3070</v>
      </c>
      <c r="E59" s="0" t="s">
        <v>3071</v>
      </c>
      <c r="F59" s="0" t="s">
        <v>2966</v>
      </c>
      <c r="G59" s="0" t="s">
        <v>1705</v>
      </c>
    </row>
    <row customHeight="1" ht="11.25">
      <c r="A60" s="600" t="s">
        <v>16</v>
      </c>
      <c r="B60" s="0" t="s">
        <v>3070</v>
      </c>
      <c r="C60" s="0" t="s">
        <v>3071</v>
      </c>
      <c r="D60" s="0" t="s">
        <v>3080</v>
      </c>
      <c r="E60" s="0" t="s">
        <v>3081</v>
      </c>
      <c r="F60" s="0" t="s">
        <v>2965</v>
      </c>
      <c r="G60" s="0" t="s">
        <v>1708</v>
      </c>
    </row>
    <row customHeight="1" ht="11.25">
      <c r="A61" s="600" t="s">
        <v>16</v>
      </c>
      <c r="B61" s="0" t="s">
        <v>3082</v>
      </c>
      <c r="C61" s="0" t="s">
        <v>3083</v>
      </c>
      <c r="D61" s="0" t="s">
        <v>3084</v>
      </c>
      <c r="E61" s="0" t="s">
        <v>3085</v>
      </c>
      <c r="F61" s="0" t="s">
        <v>2965</v>
      </c>
      <c r="G61" s="0" t="s">
        <v>3086</v>
      </c>
    </row>
    <row customHeight="1" ht="11.25">
      <c r="A62" s="600" t="s">
        <v>16</v>
      </c>
      <c r="B62" s="0" t="s">
        <v>3082</v>
      </c>
      <c r="C62" s="0" t="s">
        <v>3083</v>
      </c>
      <c r="D62" s="0" t="s">
        <v>3036</v>
      </c>
      <c r="E62" s="0" t="s">
        <v>3087</v>
      </c>
      <c r="F62" s="0" t="s">
        <v>2965</v>
      </c>
      <c r="G62" s="0" t="s">
        <v>3088</v>
      </c>
    </row>
    <row customHeight="1" ht="11.25">
      <c r="A63" s="600" t="s">
        <v>16</v>
      </c>
      <c r="B63" s="0" t="s">
        <v>3082</v>
      </c>
      <c r="C63" s="0" t="s">
        <v>3083</v>
      </c>
      <c r="D63" s="0" t="s">
        <v>3089</v>
      </c>
      <c r="E63" s="0" t="s">
        <v>3090</v>
      </c>
      <c r="F63" s="0" t="s">
        <v>2965</v>
      </c>
      <c r="G63" s="0" t="s">
        <v>3091</v>
      </c>
    </row>
    <row customHeight="1" ht="11.25">
      <c r="A64" s="600" t="s">
        <v>16</v>
      </c>
      <c r="B64" s="0" t="s">
        <v>3082</v>
      </c>
      <c r="C64" s="0" t="s">
        <v>3083</v>
      </c>
      <c r="D64" s="0" t="s">
        <v>3092</v>
      </c>
      <c r="E64" s="0" t="s">
        <v>3093</v>
      </c>
      <c r="F64" s="0" t="s">
        <v>2965</v>
      </c>
      <c r="G64" s="0" t="s">
        <v>3094</v>
      </c>
    </row>
    <row customHeight="1" ht="11.25">
      <c r="A65" s="600" t="s">
        <v>16</v>
      </c>
      <c r="B65" s="0" t="s">
        <v>3082</v>
      </c>
      <c r="C65" s="0" t="s">
        <v>3083</v>
      </c>
      <c r="D65" s="0" t="s">
        <v>3095</v>
      </c>
      <c r="E65" s="0" t="s">
        <v>3096</v>
      </c>
      <c r="F65" s="0" t="s">
        <v>2965</v>
      </c>
      <c r="G65" s="0" t="s">
        <v>3097</v>
      </c>
    </row>
    <row customHeight="1" ht="11.25">
      <c r="A66" s="600" t="s">
        <v>16</v>
      </c>
      <c r="B66" s="0" t="s">
        <v>3082</v>
      </c>
      <c r="C66" s="0" t="s">
        <v>3083</v>
      </c>
      <c r="D66" s="0" t="s">
        <v>3098</v>
      </c>
      <c r="E66" s="0" t="s">
        <v>3099</v>
      </c>
      <c r="F66" s="0" t="s">
        <v>2965</v>
      </c>
      <c r="G66" s="0" t="s">
        <v>3100</v>
      </c>
    </row>
    <row customHeight="1" ht="11.25">
      <c r="A67" s="600" t="s">
        <v>16</v>
      </c>
      <c r="B67" s="0" t="s">
        <v>3082</v>
      </c>
      <c r="C67" s="0" t="s">
        <v>3083</v>
      </c>
      <c r="D67" s="0" t="s">
        <v>3101</v>
      </c>
      <c r="E67" s="0" t="s">
        <v>3102</v>
      </c>
      <c r="F67" s="0" t="s">
        <v>2965</v>
      </c>
      <c r="G67" s="0" t="s">
        <v>2025</v>
      </c>
    </row>
    <row customHeight="1" ht="11.25">
      <c r="A68" s="600" t="s">
        <v>16</v>
      </c>
      <c r="B68" s="0" t="s">
        <v>3082</v>
      </c>
      <c r="C68" s="0" t="s">
        <v>3083</v>
      </c>
      <c r="D68" s="0" t="s">
        <v>3040</v>
      </c>
      <c r="E68" s="0" t="s">
        <v>3103</v>
      </c>
      <c r="F68" s="0" t="s">
        <v>2965</v>
      </c>
      <c r="G68" s="0" t="s">
        <v>3104</v>
      </c>
    </row>
    <row customHeight="1" ht="11.25">
      <c r="A69" s="600" t="s">
        <v>16</v>
      </c>
      <c r="B69" s="0" t="s">
        <v>3082</v>
      </c>
      <c r="C69" s="0" t="s">
        <v>3083</v>
      </c>
      <c r="D69" s="0" t="s">
        <v>3105</v>
      </c>
      <c r="E69" s="0" t="s">
        <v>3106</v>
      </c>
      <c r="F69" s="0" t="s">
        <v>2965</v>
      </c>
      <c r="G69" s="0" t="s">
        <v>2228</v>
      </c>
    </row>
    <row customHeight="1" ht="11.25">
      <c r="A70" s="600" t="s">
        <v>16</v>
      </c>
      <c r="B70" s="0" t="s">
        <v>3082</v>
      </c>
      <c r="C70" s="0" t="s">
        <v>3083</v>
      </c>
      <c r="D70" s="0" t="s">
        <v>3082</v>
      </c>
      <c r="E70" s="0" t="s">
        <v>3083</v>
      </c>
      <c r="F70" s="0" t="s">
        <v>2966</v>
      </c>
      <c r="G70" s="0" t="s">
        <v>3107</v>
      </c>
    </row>
    <row customHeight="1" ht="11.25">
      <c r="A71" s="600" t="s">
        <v>16</v>
      </c>
      <c r="B71" s="0" t="s">
        <v>3082</v>
      </c>
      <c r="C71" s="0" t="s">
        <v>3083</v>
      </c>
      <c r="D71" s="0" t="s">
        <v>3108</v>
      </c>
      <c r="E71" s="0" t="s">
        <v>3109</v>
      </c>
      <c r="F71" s="0" t="s">
        <v>2965</v>
      </c>
      <c r="G71" s="0" t="s">
        <v>3110</v>
      </c>
    </row>
    <row customHeight="1" ht="11.25">
      <c r="A72" s="600" t="s">
        <v>16</v>
      </c>
      <c r="B72" s="0" t="s">
        <v>3082</v>
      </c>
      <c r="C72" s="0" t="s">
        <v>3083</v>
      </c>
      <c r="D72" s="0" t="s">
        <v>3111</v>
      </c>
      <c r="E72" s="0" t="s">
        <v>3112</v>
      </c>
      <c r="F72" s="0" t="s">
        <v>2965</v>
      </c>
      <c r="G72" s="0" t="s">
        <v>3113</v>
      </c>
    </row>
    <row customHeight="1" ht="11.25">
      <c r="A73" s="600" t="s">
        <v>16</v>
      </c>
      <c r="B73" s="0" t="s">
        <v>3114</v>
      </c>
      <c r="C73" s="0" t="s">
        <v>3115</v>
      </c>
      <c r="D73" s="0" t="s">
        <v>3116</v>
      </c>
      <c r="E73" s="0" t="s">
        <v>3117</v>
      </c>
      <c r="F73" s="0" t="s">
        <v>2965</v>
      </c>
      <c r="G73" s="0" t="s">
        <v>3118</v>
      </c>
    </row>
    <row customHeight="1" ht="11.25">
      <c r="A74" s="600" t="s">
        <v>16</v>
      </c>
      <c r="B74" s="0" t="s">
        <v>3114</v>
      </c>
      <c r="C74" s="0" t="s">
        <v>3115</v>
      </c>
      <c r="D74" s="0" t="s">
        <v>3119</v>
      </c>
      <c r="E74" s="0" t="s">
        <v>3120</v>
      </c>
      <c r="F74" s="0" t="s">
        <v>2997</v>
      </c>
      <c r="G74" s="0" t="s">
        <v>3121</v>
      </c>
    </row>
    <row customHeight="1" ht="11.25">
      <c r="A75" s="600" t="s">
        <v>16</v>
      </c>
      <c r="B75" s="0" t="s">
        <v>3114</v>
      </c>
      <c r="C75" s="0" t="s">
        <v>3115</v>
      </c>
      <c r="D75" s="0" t="s">
        <v>3122</v>
      </c>
      <c r="E75" s="0" t="s">
        <v>3123</v>
      </c>
      <c r="F75" s="0" t="s">
        <v>2965</v>
      </c>
      <c r="G75" s="0" t="s">
        <v>3124</v>
      </c>
    </row>
    <row customHeight="1" ht="11.25">
      <c r="A76" s="600" t="s">
        <v>16</v>
      </c>
      <c r="B76" s="0" t="s">
        <v>3114</v>
      </c>
      <c r="C76" s="0" t="s">
        <v>3115</v>
      </c>
      <c r="D76" s="0" t="s">
        <v>3125</v>
      </c>
      <c r="E76" s="0" t="s">
        <v>3126</v>
      </c>
      <c r="F76" s="0" t="s">
        <v>2965</v>
      </c>
      <c r="G76" s="0" t="s">
        <v>3127</v>
      </c>
    </row>
    <row customHeight="1" ht="11.25">
      <c r="A77" s="600" t="s">
        <v>16</v>
      </c>
      <c r="B77" s="0" t="s">
        <v>3114</v>
      </c>
      <c r="C77" s="0" t="s">
        <v>3115</v>
      </c>
      <c r="D77" s="0" t="s">
        <v>3114</v>
      </c>
      <c r="E77" s="0" t="s">
        <v>3115</v>
      </c>
      <c r="F77" s="0" t="s">
        <v>2966</v>
      </c>
      <c r="G77" s="0" t="s">
        <v>3128</v>
      </c>
    </row>
    <row customHeight="1" ht="11.25">
      <c r="A78" s="600" t="s">
        <v>16</v>
      </c>
      <c r="B78" s="0" t="s">
        <v>3114</v>
      </c>
      <c r="C78" s="0" t="s">
        <v>3115</v>
      </c>
      <c r="D78" s="0" t="s">
        <v>3129</v>
      </c>
      <c r="E78" s="0" t="s">
        <v>3130</v>
      </c>
      <c r="F78" s="0" t="s">
        <v>2965</v>
      </c>
      <c r="G78" s="0" t="s">
        <v>3131</v>
      </c>
    </row>
    <row customHeight="1" ht="11.25">
      <c r="A79" s="600" t="s">
        <v>16</v>
      </c>
      <c r="B79" s="0" t="s">
        <v>3132</v>
      </c>
      <c r="C79" s="0" t="s">
        <v>3133</v>
      </c>
      <c r="D79" s="0" t="s">
        <v>3134</v>
      </c>
      <c r="E79" s="0" t="s">
        <v>3135</v>
      </c>
      <c r="F79" s="0" t="s">
        <v>2965</v>
      </c>
      <c r="G79" s="0" t="s">
        <v>3136</v>
      </c>
    </row>
    <row customHeight="1" ht="11.25">
      <c r="A80" s="600" t="s">
        <v>16</v>
      </c>
      <c r="B80" s="0" t="s">
        <v>3132</v>
      </c>
      <c r="C80" s="0" t="s">
        <v>3133</v>
      </c>
      <c r="D80" s="0" t="s">
        <v>3137</v>
      </c>
      <c r="E80" s="0" t="s">
        <v>3138</v>
      </c>
      <c r="F80" s="0" t="s">
        <v>2997</v>
      </c>
      <c r="G80" s="0" t="s">
        <v>3139</v>
      </c>
    </row>
    <row customHeight="1" ht="11.25">
      <c r="A81" s="600" t="s">
        <v>16</v>
      </c>
      <c r="B81" s="0" t="s">
        <v>3132</v>
      </c>
      <c r="C81" s="0" t="s">
        <v>3133</v>
      </c>
      <c r="D81" s="0" t="s">
        <v>3140</v>
      </c>
      <c r="E81" s="0" t="s">
        <v>3141</v>
      </c>
      <c r="F81" s="0" t="s">
        <v>2965</v>
      </c>
      <c r="G81" s="0" t="s">
        <v>3142</v>
      </c>
    </row>
    <row customHeight="1" ht="11.25">
      <c r="A82" s="600" t="s">
        <v>16</v>
      </c>
      <c r="B82" s="0" t="s">
        <v>3132</v>
      </c>
      <c r="C82" s="0" t="s">
        <v>3133</v>
      </c>
      <c r="D82" s="0" t="s">
        <v>3143</v>
      </c>
      <c r="E82" s="0" t="s">
        <v>3144</v>
      </c>
      <c r="F82" s="0" t="s">
        <v>2965</v>
      </c>
      <c r="G82" s="0" t="s">
        <v>3145</v>
      </c>
    </row>
    <row customHeight="1" ht="11.25">
      <c r="A83" s="600" t="s">
        <v>16</v>
      </c>
      <c r="B83" s="0" t="s">
        <v>3132</v>
      </c>
      <c r="C83" s="0" t="s">
        <v>3133</v>
      </c>
      <c r="D83" s="0" t="s">
        <v>3146</v>
      </c>
      <c r="E83" s="0" t="s">
        <v>3147</v>
      </c>
      <c r="F83" s="0" t="s">
        <v>2965</v>
      </c>
      <c r="G83" s="0" t="s">
        <v>3148</v>
      </c>
    </row>
    <row customHeight="1" ht="11.25">
      <c r="A84" s="600" t="s">
        <v>16</v>
      </c>
      <c r="B84" s="0" t="s">
        <v>3132</v>
      </c>
      <c r="C84" s="0" t="s">
        <v>3133</v>
      </c>
      <c r="D84" s="0" t="s">
        <v>3132</v>
      </c>
      <c r="E84" s="0" t="s">
        <v>3133</v>
      </c>
      <c r="F84" s="0" t="s">
        <v>2966</v>
      </c>
      <c r="G84" s="0" t="s">
        <v>3149</v>
      </c>
    </row>
    <row customHeight="1" ht="11.25">
      <c r="A85" s="600" t="s">
        <v>16</v>
      </c>
      <c r="B85" s="0" t="s">
        <v>3132</v>
      </c>
      <c r="C85" s="0" t="s">
        <v>3133</v>
      </c>
      <c r="D85" s="0" t="s">
        <v>3150</v>
      </c>
      <c r="E85" s="0" t="s">
        <v>3151</v>
      </c>
      <c r="F85" s="0" t="s">
        <v>2965</v>
      </c>
      <c r="G85" s="0" t="s">
        <v>3152</v>
      </c>
    </row>
    <row customHeight="1" ht="11.25">
      <c r="A86" s="600" t="s">
        <v>16</v>
      </c>
      <c r="B86" s="0" t="s">
        <v>3153</v>
      </c>
      <c r="C86" s="0" t="s">
        <v>3154</v>
      </c>
      <c r="D86" s="0" t="s">
        <v>3155</v>
      </c>
      <c r="E86" s="0" t="s">
        <v>3156</v>
      </c>
      <c r="F86" s="0" t="s">
        <v>3054</v>
      </c>
      <c r="G86" s="0" t="s">
        <v>3157</v>
      </c>
    </row>
    <row customHeight="1" ht="11.25">
      <c r="A87" s="600" t="s">
        <v>16</v>
      </c>
      <c r="B87" s="0" t="s">
        <v>3153</v>
      </c>
      <c r="C87" s="0" t="s">
        <v>3154</v>
      </c>
      <c r="D87" s="0" t="s">
        <v>3158</v>
      </c>
      <c r="E87" s="0" t="s">
        <v>3159</v>
      </c>
      <c r="F87" s="0" t="s">
        <v>2965</v>
      </c>
      <c r="G87" s="0" t="s">
        <v>3160</v>
      </c>
    </row>
    <row customHeight="1" ht="11.25">
      <c r="A88" s="600" t="s">
        <v>16</v>
      </c>
      <c r="B88" s="0" t="s">
        <v>3153</v>
      </c>
      <c r="C88" s="0" t="s">
        <v>3154</v>
      </c>
      <c r="D88" s="0" t="s">
        <v>3161</v>
      </c>
      <c r="E88" s="0" t="s">
        <v>3162</v>
      </c>
      <c r="F88" s="0" t="s">
        <v>2965</v>
      </c>
      <c r="G88" s="0" t="s">
        <v>3163</v>
      </c>
    </row>
    <row customHeight="1" ht="11.25">
      <c r="A89" s="600" t="s">
        <v>16</v>
      </c>
      <c r="B89" s="0" t="s">
        <v>3153</v>
      </c>
      <c r="C89" s="0" t="s">
        <v>3154</v>
      </c>
      <c r="D89" s="0" t="s">
        <v>3164</v>
      </c>
      <c r="E89" s="0" t="s">
        <v>3165</v>
      </c>
      <c r="F89" s="0" t="s">
        <v>2965</v>
      </c>
      <c r="G89" s="0" t="s">
        <v>3166</v>
      </c>
    </row>
    <row customHeight="1" ht="11.25">
      <c r="A90" s="600" t="s">
        <v>16</v>
      </c>
      <c r="B90" s="0" t="s">
        <v>3153</v>
      </c>
      <c r="C90" s="0" t="s">
        <v>3154</v>
      </c>
      <c r="D90" s="0" t="s">
        <v>3167</v>
      </c>
      <c r="E90" s="0" t="s">
        <v>3168</v>
      </c>
      <c r="F90" s="0" t="s">
        <v>2965</v>
      </c>
      <c r="G90" s="0" t="s">
        <v>3169</v>
      </c>
    </row>
    <row customHeight="1" ht="11.25">
      <c r="A91" s="600" t="s">
        <v>16</v>
      </c>
      <c r="B91" s="0" t="s">
        <v>3153</v>
      </c>
      <c r="C91" s="0" t="s">
        <v>3154</v>
      </c>
      <c r="D91" s="0" t="s">
        <v>3170</v>
      </c>
      <c r="E91" s="0" t="s">
        <v>3171</v>
      </c>
      <c r="F91" s="0" t="s">
        <v>2965</v>
      </c>
      <c r="G91" s="0" t="s">
        <v>3172</v>
      </c>
    </row>
    <row customHeight="1" ht="11.25">
      <c r="A92" s="600" t="s">
        <v>16</v>
      </c>
      <c r="B92" s="0" t="s">
        <v>3153</v>
      </c>
      <c r="C92" s="0" t="s">
        <v>3154</v>
      </c>
      <c r="D92" s="0" t="s">
        <v>3048</v>
      </c>
      <c r="E92" s="0" t="s">
        <v>3173</v>
      </c>
      <c r="F92" s="0" t="s">
        <v>2965</v>
      </c>
      <c r="G92" s="0" t="s">
        <v>3174</v>
      </c>
    </row>
    <row customHeight="1" ht="11.25">
      <c r="A93" s="600" t="s">
        <v>16</v>
      </c>
      <c r="B93" s="0" t="s">
        <v>3153</v>
      </c>
      <c r="C93" s="0" t="s">
        <v>3154</v>
      </c>
      <c r="D93" s="0" t="s">
        <v>3175</v>
      </c>
      <c r="E93" s="0" t="s">
        <v>3176</v>
      </c>
      <c r="F93" s="0" t="s">
        <v>2965</v>
      </c>
      <c r="G93" s="0" t="s">
        <v>3177</v>
      </c>
    </row>
    <row customHeight="1" ht="11.25">
      <c r="A94" s="600" t="s">
        <v>16</v>
      </c>
      <c r="B94" s="0" t="s">
        <v>3153</v>
      </c>
      <c r="C94" s="0" t="s">
        <v>3154</v>
      </c>
      <c r="D94" s="0" t="s">
        <v>3153</v>
      </c>
      <c r="E94" s="0" t="s">
        <v>3154</v>
      </c>
      <c r="F94" s="0" t="s">
        <v>2966</v>
      </c>
      <c r="G94" s="0" t="s">
        <v>3178</v>
      </c>
    </row>
    <row customHeight="1" ht="11.25">
      <c r="A95" s="600" t="s">
        <v>16</v>
      </c>
      <c r="B95" s="0" t="s">
        <v>3179</v>
      </c>
      <c r="C95" s="0" t="s">
        <v>3180</v>
      </c>
      <c r="D95" s="0" t="s">
        <v>3179</v>
      </c>
      <c r="E95" s="0" t="s">
        <v>3180</v>
      </c>
      <c r="F95" s="0" t="s">
        <v>3181</v>
      </c>
      <c r="G95" s="0" t="s">
        <v>3182</v>
      </c>
    </row>
    <row customHeight="1" ht="11.25">
      <c r="A96" s="600" t="s">
        <v>16</v>
      </c>
      <c r="B96" s="0" t="s">
        <v>99</v>
      </c>
      <c r="C96" s="0" t="s">
        <v>100</v>
      </c>
      <c r="D96" s="0" t="s">
        <v>99</v>
      </c>
      <c r="E96" s="0" t="s">
        <v>100</v>
      </c>
      <c r="F96" s="0" t="s">
        <v>3181</v>
      </c>
      <c r="G96" s="0" t="s">
        <v>98</v>
      </c>
    </row>
    <row customHeight="1" ht="11.25">
      <c r="A97" s="600" t="s">
        <v>16</v>
      </c>
      <c r="B97" s="0" t="s">
        <v>3183</v>
      </c>
      <c r="C97" s="0" t="s">
        <v>3184</v>
      </c>
      <c r="D97" s="0" t="s">
        <v>3183</v>
      </c>
      <c r="E97" s="0" t="s">
        <v>3184</v>
      </c>
      <c r="F97" s="0" t="s">
        <v>3181</v>
      </c>
      <c r="G97" s="0" t="s">
        <v>3185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B9C8-70E8-3C57-98B8-9D4BCB8040B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4089" width="13.8515625" customWidth="1"/>
    <col min="2" max="2" style="14089" width="10.421875" customWidth="1"/>
    <col min="3" max="3" style="14089" width="7.57421875" customWidth="1"/>
    <col min="4" max="4" style="14089" width="13.8515625" customWidth="1"/>
    <col min="5" max="5" style="14089" width="11.57421875" customWidth="1"/>
    <col min="6" max="6" style="14089" width="16.28125" customWidth="1"/>
    <col min="7" max="7" style="14089" width="16.00390625" customWidth="1"/>
    <col min="8" max="9" style="14089" width="16.140625" customWidth="1"/>
  </cols>
  <sheetData>
    <row customHeight="1" ht="11.25">
      <c r="A1" s="1062" t="s">
        <v>3186</v>
      </c>
      <c r="B1" s="1062" t="s">
        <v>3187</v>
      </c>
      <c r="C1" s="1386" t="s">
        <v>3188</v>
      </c>
      <c r="D1" s="1062" t="s">
        <v>3189</v>
      </c>
      <c r="E1" s="1062" t="s">
        <v>3190</v>
      </c>
      <c r="F1" s="1386" t="s">
        <v>3191</v>
      </c>
      <c r="G1" s="1386" t="s">
        <v>3192</v>
      </c>
      <c r="H1" s="1386" t="s">
        <v>3193</v>
      </c>
      <c r="I1" s="1386"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B9B98-9229-C4A8-4568-B5C1106001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59E18-4458-F6B4-2B08-4703EAD90F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091" width="9.140625"/>
  </cols>
  <sheetData>
    <row customHeight="1" ht="11.25">
      <c r="A1" s="410" t="s">
        <v>129</v>
      </c>
      <c r="B1" s="410" t="s">
        <v>3195</v>
      </c>
    </row>
    <row customHeight="1" ht="11.25">
      <c r="A2" s="289" t="s">
        <v>97</v>
      </c>
      <c r="B2" s="289"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EE428-5538-72C8-0A1E-80E667A4AF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089" width="9.140625"/>
    <col min="2" max="2" style="14089" width="65.28125" customWidth="1"/>
  </cols>
  <sheetData>
    <row customHeight="1" ht="11.25">
      <c r="A1" s="1062" t="s">
        <v>3197</v>
      </c>
      <c r="B1" s="1062" t="s">
        <v>3198</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1393</v>
      </c>
    </row>
    <row customHeight="1" ht="11.25">
      <c r="A10" s="1062">
        <v>4213783</v>
      </c>
      <c r="B10" s="1062" t="s">
        <v>1408</v>
      </c>
    </row>
    <row customHeight="1" ht="11.25">
      <c r="A11" s="1062">
        <v>4213782</v>
      </c>
      <c r="B11" s="106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31866-A513-8868-D188-53E22A7AD1A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089" width="9.140625"/>
    <col min="2" max="2" style="14089" width="65.28125" customWidth="1"/>
  </cols>
  <sheetData>
    <row customHeight="1" ht="11.25">
      <c r="A1" s="1062" t="s">
        <v>3197</v>
      </c>
      <c r="B1" s="1062" t="s">
        <v>3199</v>
      </c>
    </row>
    <row customHeight="1" ht="11.25">
      <c r="A2" s="1062" t="s">
        <v>3200</v>
      </c>
      <c r="B2" s="1062" t="s">
        <v>1508</v>
      </c>
    </row>
    <row customHeight="1" ht="11.25">
      <c r="A3" s="1062" t="s">
        <v>3201</v>
      </c>
      <c r="B3" s="1062" t="s">
        <v>1518</v>
      </c>
    </row>
    <row customHeight="1" ht="11.25">
      <c r="A4" s="1062" t="s">
        <v>3202</v>
      </c>
      <c r="B4" s="1062"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448F4-B889-E27E-AD65-0502E90183DD}"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600" t="s">
        <v>2954</v>
      </c>
      <c r="B1" s="600" t="s">
        <v>2955</v>
      </c>
      <c r="C1" s="600" t="s">
        <v>2956</v>
      </c>
      <c r="D1" s="600" t="s">
        <v>2957</v>
      </c>
      <c r="E1" s="0" t="s">
        <v>2958</v>
      </c>
      <c r="F1" s="0" t="s">
        <v>2959</v>
      </c>
      <c r="G1" s="0" t="s">
        <v>2960</v>
      </c>
    </row>
    <row customHeight="1" ht="11.25">
      <c r="A2" s="0" t="s">
        <v>16</v>
      </c>
      <c r="B2" s="0" t="s">
        <v>2961</v>
      </c>
      <c r="C2" s="0" t="s">
        <v>2962</v>
      </c>
      <c r="D2" s="0" t="s">
        <v>2963</v>
      </c>
      <c r="E2" s="0" t="s">
        <v>2964</v>
      </c>
      <c r="F2" s="0" t="s">
        <v>2965</v>
      </c>
      <c r="G2" s="0" t="s">
        <v>108</v>
      </c>
    </row>
    <row customHeight="1" ht="11.25">
      <c r="A3" s="0" t="s">
        <v>16</v>
      </c>
      <c r="B3" s="0" t="s">
        <v>2961</v>
      </c>
      <c r="C3" s="0" t="s">
        <v>2962</v>
      </c>
      <c r="D3" s="0" t="s">
        <v>2961</v>
      </c>
      <c r="E3" s="0" t="s">
        <v>2962</v>
      </c>
      <c r="F3" s="0" t="s">
        <v>2966</v>
      </c>
      <c r="G3" s="0" t="s">
        <v>109</v>
      </c>
    </row>
    <row customHeight="1" ht="11.25">
      <c r="A4" s="0" t="s">
        <v>16</v>
      </c>
      <c r="B4" s="0" t="s">
        <v>2961</v>
      </c>
      <c r="C4" s="0" t="s">
        <v>2962</v>
      </c>
      <c r="D4" s="0" t="s">
        <v>2967</v>
      </c>
      <c r="E4" s="0" t="s">
        <v>2968</v>
      </c>
      <c r="F4" s="0" t="s">
        <v>2965</v>
      </c>
      <c r="G4" s="0" t="s">
        <v>89</v>
      </c>
    </row>
    <row customHeight="1" ht="11.25">
      <c r="A5" s="0" t="s">
        <v>16</v>
      </c>
      <c r="B5" s="0" t="s">
        <v>2961</v>
      </c>
      <c r="C5" s="0" t="s">
        <v>2962</v>
      </c>
      <c r="D5" s="0" t="s">
        <v>2969</v>
      </c>
      <c r="E5" s="0" t="s">
        <v>2970</v>
      </c>
      <c r="F5" s="0" t="s">
        <v>2965</v>
      </c>
      <c r="G5" s="0" t="s">
        <v>90</v>
      </c>
    </row>
    <row customHeight="1" ht="11.25">
      <c r="A6" s="0" t="s">
        <v>16</v>
      </c>
      <c r="B6" s="0" t="s">
        <v>2971</v>
      </c>
      <c r="C6" s="0" t="s">
        <v>2972</v>
      </c>
      <c r="D6" s="0" t="s">
        <v>2973</v>
      </c>
      <c r="E6" s="0" t="s">
        <v>2974</v>
      </c>
      <c r="F6" s="0" t="s">
        <v>2965</v>
      </c>
      <c r="G6" s="0" t="s">
        <v>110</v>
      </c>
    </row>
    <row customHeight="1" ht="11.25">
      <c r="A7" s="0" t="s">
        <v>16</v>
      </c>
      <c r="B7" s="0" t="s">
        <v>2971</v>
      </c>
      <c r="C7" s="0" t="s">
        <v>2972</v>
      </c>
      <c r="D7" s="0" t="s">
        <v>2971</v>
      </c>
      <c r="E7" s="0" t="s">
        <v>2972</v>
      </c>
      <c r="F7" s="0" t="s">
        <v>2966</v>
      </c>
      <c r="G7" s="0" t="s">
        <v>91</v>
      </c>
    </row>
    <row customHeight="1" ht="11.25">
      <c r="A8" s="0" t="s">
        <v>16</v>
      </c>
      <c r="B8" s="0" t="s">
        <v>2971</v>
      </c>
      <c r="C8" s="0" t="s">
        <v>2972</v>
      </c>
      <c r="D8" s="0" t="s">
        <v>2975</v>
      </c>
      <c r="E8" s="0" t="s">
        <v>2976</v>
      </c>
      <c r="F8" s="0" t="s">
        <v>2965</v>
      </c>
      <c r="G8" s="0" t="s">
        <v>92</v>
      </c>
    </row>
    <row customHeight="1" ht="11.25">
      <c r="A9" s="0" t="s">
        <v>16</v>
      </c>
      <c r="B9" s="0" t="s">
        <v>2971</v>
      </c>
      <c r="C9" s="0" t="s">
        <v>2972</v>
      </c>
      <c r="D9" s="0" t="s">
        <v>2977</v>
      </c>
      <c r="E9" s="0" t="s">
        <v>2978</v>
      </c>
      <c r="F9" s="0" t="s">
        <v>2965</v>
      </c>
      <c r="G9" s="0" t="s">
        <v>111</v>
      </c>
    </row>
    <row customHeight="1" ht="11.25">
      <c r="A10" s="0" t="s">
        <v>16</v>
      </c>
      <c r="B10" s="0" t="s">
        <v>2971</v>
      </c>
      <c r="C10" s="0" t="s">
        <v>2972</v>
      </c>
      <c r="D10" s="0" t="s">
        <v>2979</v>
      </c>
      <c r="E10" s="0" t="s">
        <v>2980</v>
      </c>
      <c r="F10" s="0" t="s">
        <v>2965</v>
      </c>
      <c r="G10" s="0" t="s">
        <v>147</v>
      </c>
    </row>
    <row customHeight="1" ht="11.25">
      <c r="A11" s="0" t="s">
        <v>16</v>
      </c>
      <c r="B11" s="0" t="s">
        <v>2971</v>
      </c>
      <c r="C11" s="0" t="s">
        <v>2972</v>
      </c>
      <c r="D11" s="0" t="s">
        <v>2981</v>
      </c>
      <c r="E11" s="0" t="s">
        <v>2982</v>
      </c>
      <c r="F11" s="0" t="s">
        <v>2965</v>
      </c>
      <c r="G11" s="0" t="s">
        <v>148</v>
      </c>
    </row>
    <row customHeight="1" ht="11.25">
      <c r="A12" s="0" t="s">
        <v>16</v>
      </c>
      <c r="B12" s="0" t="s">
        <v>2983</v>
      </c>
      <c r="C12" s="0" t="s">
        <v>2984</v>
      </c>
      <c r="D12" s="0" t="s">
        <v>2983</v>
      </c>
      <c r="E12" s="0" t="s">
        <v>2984</v>
      </c>
      <c r="F12" s="0" t="s">
        <v>2966</v>
      </c>
      <c r="G12" s="0" t="s">
        <v>149</v>
      </c>
    </row>
    <row customHeight="1" ht="11.25">
      <c r="A13" s="0" t="s">
        <v>16</v>
      </c>
      <c r="B13" s="0" t="s">
        <v>2983</v>
      </c>
      <c r="C13" s="0" t="s">
        <v>2984</v>
      </c>
      <c r="D13" s="0" t="s">
        <v>2985</v>
      </c>
      <c r="E13" s="0" t="s">
        <v>2986</v>
      </c>
      <c r="F13" s="0" t="s">
        <v>2965</v>
      </c>
      <c r="G13" s="0" t="s">
        <v>150</v>
      </c>
    </row>
    <row customHeight="1" ht="11.25">
      <c r="A14" s="0" t="s">
        <v>16</v>
      </c>
      <c r="B14" s="0" t="s">
        <v>2983</v>
      </c>
      <c r="C14" s="0" t="s">
        <v>2984</v>
      </c>
      <c r="D14" s="0" t="s">
        <v>2987</v>
      </c>
      <c r="E14" s="0" t="s">
        <v>2988</v>
      </c>
      <c r="F14" s="0" t="s">
        <v>2965</v>
      </c>
      <c r="G14" s="0" t="s">
        <v>151</v>
      </c>
    </row>
    <row customHeight="1" ht="11.25">
      <c r="A15" s="0" t="s">
        <v>16</v>
      </c>
      <c r="B15" s="0" t="s">
        <v>2983</v>
      </c>
      <c r="C15" s="0" t="s">
        <v>2984</v>
      </c>
      <c r="D15" s="0" t="s">
        <v>2989</v>
      </c>
      <c r="E15" s="0" t="s">
        <v>2990</v>
      </c>
      <c r="F15" s="0" t="s">
        <v>2965</v>
      </c>
      <c r="G15" s="0" t="s">
        <v>152</v>
      </c>
    </row>
    <row customHeight="1" ht="11.25">
      <c r="A16" s="0" t="s">
        <v>16</v>
      </c>
      <c r="B16" s="0" t="s">
        <v>2991</v>
      </c>
      <c r="C16" s="0" t="s">
        <v>2992</v>
      </c>
      <c r="D16" s="0" t="s">
        <v>2993</v>
      </c>
      <c r="E16" s="0" t="s">
        <v>2994</v>
      </c>
      <c r="F16" s="0" t="s">
        <v>2965</v>
      </c>
      <c r="G16" s="0" t="s">
        <v>1468</v>
      </c>
    </row>
    <row customHeight="1" ht="11.25">
      <c r="A17" s="0" t="s">
        <v>16</v>
      </c>
      <c r="B17" s="0" t="s">
        <v>2991</v>
      </c>
      <c r="C17" s="0" t="s">
        <v>2992</v>
      </c>
      <c r="D17" s="0" t="s">
        <v>2991</v>
      </c>
      <c r="E17" s="0" t="s">
        <v>2992</v>
      </c>
      <c r="F17" s="0" t="s">
        <v>2966</v>
      </c>
      <c r="G17" s="0" t="s">
        <v>1474</v>
      </c>
    </row>
    <row customHeight="1" ht="11.25">
      <c r="A18" s="0" t="s">
        <v>16</v>
      </c>
      <c r="B18" s="0" t="s">
        <v>2991</v>
      </c>
      <c r="C18" s="0" t="s">
        <v>2992</v>
      </c>
      <c r="D18" s="0" t="s">
        <v>2995</v>
      </c>
      <c r="E18" s="0" t="s">
        <v>2996</v>
      </c>
      <c r="F18" s="0" t="s">
        <v>2997</v>
      </c>
      <c r="G18" s="0" t="s">
        <v>1486</v>
      </c>
    </row>
    <row customHeight="1" ht="11.25">
      <c r="A19" s="0" t="s">
        <v>16</v>
      </c>
      <c r="B19" s="0" t="s">
        <v>2991</v>
      </c>
      <c r="C19" s="0" t="s">
        <v>2992</v>
      </c>
      <c r="D19" s="0" t="s">
        <v>2998</v>
      </c>
      <c r="E19" s="0" t="s">
        <v>2999</v>
      </c>
      <c r="F19" s="0" t="s">
        <v>2965</v>
      </c>
      <c r="G19" s="0" t="s">
        <v>1500</v>
      </c>
    </row>
    <row customHeight="1" ht="11.25">
      <c r="A20" s="0" t="s">
        <v>16</v>
      </c>
      <c r="B20" s="0" t="s">
        <v>2991</v>
      </c>
      <c r="C20" s="0" t="s">
        <v>2992</v>
      </c>
      <c r="D20" s="0" t="s">
        <v>3000</v>
      </c>
      <c r="E20" s="0" t="s">
        <v>3001</v>
      </c>
      <c r="F20" s="0" t="s">
        <v>2965</v>
      </c>
      <c r="G20" s="0" t="s">
        <v>1512</v>
      </c>
    </row>
    <row customHeight="1" ht="11.25">
      <c r="A21" s="0" t="s">
        <v>16</v>
      </c>
      <c r="B21" s="0" t="s">
        <v>2991</v>
      </c>
      <c r="C21" s="0" t="s">
        <v>2992</v>
      </c>
      <c r="D21" s="0" t="s">
        <v>3002</v>
      </c>
      <c r="E21" s="0" t="s">
        <v>3003</v>
      </c>
      <c r="F21" s="0" t="s">
        <v>2965</v>
      </c>
      <c r="G21" s="0" t="s">
        <v>1521</v>
      </c>
    </row>
    <row customHeight="1" ht="11.25">
      <c r="A22" s="0" t="s">
        <v>16</v>
      </c>
      <c r="B22" s="0" t="s">
        <v>3004</v>
      </c>
      <c r="C22" s="0" t="s">
        <v>3005</v>
      </c>
      <c r="D22" s="0" t="s">
        <v>3006</v>
      </c>
      <c r="E22" s="0" t="s">
        <v>3007</v>
      </c>
      <c r="F22" s="0" t="s">
        <v>2997</v>
      </c>
      <c r="G22" s="0" t="s">
        <v>1537</v>
      </c>
    </row>
    <row customHeight="1" ht="11.25">
      <c r="A23" s="0" t="s">
        <v>16</v>
      </c>
      <c r="B23" s="0" t="s">
        <v>3004</v>
      </c>
      <c r="C23" s="0" t="s">
        <v>3005</v>
      </c>
      <c r="D23" s="0" t="s">
        <v>3004</v>
      </c>
      <c r="E23" s="0" t="s">
        <v>3005</v>
      </c>
      <c r="F23" s="0" t="s">
        <v>2966</v>
      </c>
      <c r="G23" s="0" t="s">
        <v>1544</v>
      </c>
    </row>
    <row customHeight="1" ht="11.25">
      <c r="A24" s="0" t="s">
        <v>16</v>
      </c>
      <c r="B24" s="0" t="s">
        <v>3004</v>
      </c>
      <c r="C24" s="0" t="s">
        <v>3005</v>
      </c>
      <c r="D24" s="0" t="s">
        <v>3008</v>
      </c>
      <c r="E24" s="0" t="s">
        <v>3009</v>
      </c>
      <c r="F24" s="0" t="s">
        <v>2965</v>
      </c>
      <c r="G24" s="0" t="s">
        <v>1552</v>
      </c>
    </row>
    <row customHeight="1" ht="11.25">
      <c r="A25" s="0" t="s">
        <v>16</v>
      </c>
      <c r="B25" s="0" t="s">
        <v>3004</v>
      </c>
      <c r="C25" s="0" t="s">
        <v>3005</v>
      </c>
      <c r="D25" s="0" t="s">
        <v>3010</v>
      </c>
      <c r="E25" s="0" t="s">
        <v>3011</v>
      </c>
      <c r="F25" s="0" t="s">
        <v>2965</v>
      </c>
      <c r="G25" s="0" t="s">
        <v>1559</v>
      </c>
    </row>
    <row customHeight="1" ht="11.25">
      <c r="A26" s="0" t="s">
        <v>16</v>
      </c>
      <c r="B26" s="0" t="s">
        <v>3004</v>
      </c>
      <c r="C26" s="0" t="s">
        <v>3005</v>
      </c>
      <c r="D26" s="0" t="s">
        <v>3012</v>
      </c>
      <c r="E26" s="0" t="s">
        <v>3013</v>
      </c>
      <c r="F26" s="0" t="s">
        <v>2965</v>
      </c>
      <c r="G26" s="0" t="s">
        <v>1563</v>
      </c>
    </row>
    <row customHeight="1" ht="11.25">
      <c r="A27" s="0" t="s">
        <v>16</v>
      </c>
      <c r="B27" s="0" t="s">
        <v>3014</v>
      </c>
      <c r="C27" s="0" t="s">
        <v>3015</v>
      </c>
      <c r="D27" s="0" t="s">
        <v>3016</v>
      </c>
      <c r="E27" s="0" t="s">
        <v>3017</v>
      </c>
      <c r="F27" s="0" t="s">
        <v>2965</v>
      </c>
      <c r="G27" s="0" t="s">
        <v>1568</v>
      </c>
    </row>
    <row customHeight="1" ht="11.25">
      <c r="A28" s="0" t="s">
        <v>16</v>
      </c>
      <c r="B28" s="0" t="s">
        <v>3014</v>
      </c>
      <c r="C28" s="0" t="s">
        <v>3015</v>
      </c>
      <c r="D28" s="0" t="s">
        <v>3018</v>
      </c>
      <c r="E28" s="0" t="s">
        <v>3019</v>
      </c>
      <c r="F28" s="0" t="s">
        <v>2997</v>
      </c>
      <c r="G28" s="0" t="s">
        <v>1576</v>
      </c>
    </row>
    <row customHeight="1" ht="11.25">
      <c r="A29" s="0" t="s">
        <v>16</v>
      </c>
      <c r="B29" s="0" t="s">
        <v>3014</v>
      </c>
      <c r="C29" s="0" t="s">
        <v>3015</v>
      </c>
      <c r="D29" s="0" t="s">
        <v>3020</v>
      </c>
      <c r="E29" s="0" t="s">
        <v>3021</v>
      </c>
      <c r="F29" s="0" t="s">
        <v>2965</v>
      </c>
      <c r="G29" s="0" t="s">
        <v>1578</v>
      </c>
    </row>
    <row customHeight="1" ht="11.25">
      <c r="A30" s="0" t="s">
        <v>16</v>
      </c>
      <c r="B30" s="0" t="s">
        <v>3014</v>
      </c>
      <c r="C30" s="0" t="s">
        <v>3015</v>
      </c>
      <c r="D30" s="0" t="s">
        <v>3014</v>
      </c>
      <c r="E30" s="0" t="s">
        <v>3015</v>
      </c>
      <c r="F30" s="0" t="s">
        <v>2966</v>
      </c>
      <c r="G30" s="0" t="s">
        <v>1581</v>
      </c>
    </row>
    <row customHeight="1" ht="11.25">
      <c r="A31" s="0" t="s">
        <v>16</v>
      </c>
      <c r="B31" s="0" t="s">
        <v>3014</v>
      </c>
      <c r="C31" s="0" t="s">
        <v>3015</v>
      </c>
      <c r="D31" s="0" t="s">
        <v>3022</v>
      </c>
      <c r="E31" s="0" t="s">
        <v>3023</v>
      </c>
      <c r="F31" s="0" t="s">
        <v>2965</v>
      </c>
      <c r="G31" s="0" t="s">
        <v>1586</v>
      </c>
    </row>
    <row customHeight="1" ht="11.25">
      <c r="A32" s="0" t="s">
        <v>16</v>
      </c>
      <c r="B32" s="0" t="s">
        <v>3024</v>
      </c>
      <c r="C32" s="0" t="s">
        <v>3025</v>
      </c>
      <c r="D32" s="0" t="s">
        <v>3026</v>
      </c>
      <c r="E32" s="0" t="s">
        <v>3027</v>
      </c>
      <c r="F32" s="0" t="s">
        <v>2997</v>
      </c>
      <c r="G32" s="0" t="s">
        <v>1588</v>
      </c>
    </row>
    <row customHeight="1" ht="11.25">
      <c r="A33" s="0" t="s">
        <v>16</v>
      </c>
      <c r="B33" s="0" t="s">
        <v>3024</v>
      </c>
      <c r="C33" s="0" t="s">
        <v>3025</v>
      </c>
      <c r="D33" s="0" t="s">
        <v>3024</v>
      </c>
      <c r="E33" s="0" t="s">
        <v>3025</v>
      </c>
      <c r="F33" s="0" t="s">
        <v>2966</v>
      </c>
      <c r="G33" s="0" t="s">
        <v>1590</v>
      </c>
    </row>
    <row customHeight="1" ht="11.25">
      <c r="A34" s="0" t="s">
        <v>16</v>
      </c>
      <c r="B34" s="0" t="s">
        <v>3024</v>
      </c>
      <c r="C34" s="0" t="s">
        <v>3025</v>
      </c>
      <c r="D34" s="0" t="s">
        <v>3028</v>
      </c>
      <c r="E34" s="0" t="s">
        <v>3029</v>
      </c>
      <c r="F34" s="0" t="s">
        <v>2965</v>
      </c>
      <c r="G34" s="0" t="s">
        <v>1592</v>
      </c>
    </row>
    <row customHeight="1" ht="11.25">
      <c r="A35" s="0" t="s">
        <v>16</v>
      </c>
      <c r="B35" s="0" t="s">
        <v>3024</v>
      </c>
      <c r="C35" s="0" t="s">
        <v>3025</v>
      </c>
      <c r="D35" s="0" t="s">
        <v>3030</v>
      </c>
      <c r="E35" s="0" t="s">
        <v>3031</v>
      </c>
      <c r="F35" s="0" t="s">
        <v>2965</v>
      </c>
      <c r="G35" s="0" t="s">
        <v>1597</v>
      </c>
    </row>
    <row customHeight="1" ht="11.25">
      <c r="A36" s="0" t="s">
        <v>16</v>
      </c>
      <c r="B36" s="0" t="s">
        <v>3032</v>
      </c>
      <c r="C36" s="0" t="s">
        <v>3033</v>
      </c>
      <c r="D36" s="0" t="s">
        <v>3034</v>
      </c>
      <c r="E36" s="0" t="s">
        <v>3035</v>
      </c>
      <c r="F36" s="0" t="s">
        <v>2965</v>
      </c>
      <c r="G36" s="0" t="s">
        <v>1602</v>
      </c>
    </row>
    <row customHeight="1" ht="11.25">
      <c r="A37" s="0" t="s">
        <v>16</v>
      </c>
      <c r="B37" s="0" t="s">
        <v>3032</v>
      </c>
      <c r="C37" s="0" t="s">
        <v>3033</v>
      </c>
      <c r="D37" s="0" t="s">
        <v>3036</v>
      </c>
      <c r="E37" s="0" t="s">
        <v>3037</v>
      </c>
      <c r="F37" s="0" t="s">
        <v>2965</v>
      </c>
      <c r="G37" s="0" t="s">
        <v>1606</v>
      </c>
    </row>
    <row customHeight="1" ht="11.25">
      <c r="A38" s="0" t="s">
        <v>16</v>
      </c>
      <c r="B38" s="0" t="s">
        <v>3032</v>
      </c>
      <c r="C38" s="0" t="s">
        <v>3033</v>
      </c>
      <c r="D38" s="0" t="s">
        <v>3032</v>
      </c>
      <c r="E38" s="0" t="s">
        <v>3033</v>
      </c>
      <c r="F38" s="0" t="s">
        <v>2966</v>
      </c>
      <c r="G38" s="0" t="s">
        <v>1614</v>
      </c>
    </row>
    <row customHeight="1" ht="11.25">
      <c r="A39" s="0" t="s">
        <v>16</v>
      </c>
      <c r="B39" s="0" t="s">
        <v>3032</v>
      </c>
      <c r="C39" s="0" t="s">
        <v>3033</v>
      </c>
      <c r="D39" s="0" t="s">
        <v>3038</v>
      </c>
      <c r="E39" s="0" t="s">
        <v>3039</v>
      </c>
      <c r="F39" s="0" t="s">
        <v>2965</v>
      </c>
      <c r="G39" s="0" t="s">
        <v>1620</v>
      </c>
    </row>
    <row customHeight="1" ht="11.25">
      <c r="A40" s="0" t="s">
        <v>16</v>
      </c>
      <c r="B40" s="0" t="s">
        <v>3032</v>
      </c>
      <c r="C40" s="0" t="s">
        <v>3033</v>
      </c>
      <c r="D40" s="0" t="s">
        <v>3040</v>
      </c>
      <c r="E40" s="0" t="s">
        <v>3041</v>
      </c>
      <c r="F40" s="0" t="s">
        <v>2965</v>
      </c>
      <c r="G40" s="0" t="s">
        <v>1625</v>
      </c>
    </row>
    <row customHeight="1" ht="11.25">
      <c r="A41" s="0" t="s">
        <v>16</v>
      </c>
      <c r="B41" s="0" t="s">
        <v>3042</v>
      </c>
      <c r="C41" s="0" t="s">
        <v>3043</v>
      </c>
      <c r="D41" s="0" t="s">
        <v>3044</v>
      </c>
      <c r="E41" s="0" t="s">
        <v>3045</v>
      </c>
      <c r="F41" s="0" t="s">
        <v>2965</v>
      </c>
      <c r="G41" s="0" t="s">
        <v>1629</v>
      </c>
    </row>
    <row customHeight="1" ht="11.25">
      <c r="A42" s="0" t="s">
        <v>16</v>
      </c>
      <c r="B42" s="0" t="s">
        <v>3042</v>
      </c>
      <c r="C42" s="0" t="s">
        <v>3043</v>
      </c>
      <c r="D42" s="0" t="s">
        <v>3046</v>
      </c>
      <c r="E42" s="0" t="s">
        <v>3047</v>
      </c>
      <c r="F42" s="0" t="s">
        <v>2965</v>
      </c>
      <c r="G42" s="0" t="s">
        <v>1632</v>
      </c>
    </row>
    <row customHeight="1" ht="11.25">
      <c r="A43" s="0" t="s">
        <v>16</v>
      </c>
      <c r="B43" s="0" t="s">
        <v>3042</v>
      </c>
      <c r="C43" s="0" t="s">
        <v>3043</v>
      </c>
      <c r="D43" s="0" t="s">
        <v>3042</v>
      </c>
      <c r="E43" s="0" t="s">
        <v>3043</v>
      </c>
      <c r="F43" s="0" t="s">
        <v>2966</v>
      </c>
      <c r="G43" s="0" t="s">
        <v>1639</v>
      </c>
    </row>
    <row customHeight="1" ht="11.25">
      <c r="A44" s="0" t="s">
        <v>16</v>
      </c>
      <c r="B44" s="0" t="s">
        <v>3042</v>
      </c>
      <c r="C44" s="0" t="s">
        <v>3043</v>
      </c>
      <c r="D44" s="0" t="s">
        <v>3048</v>
      </c>
      <c r="E44" s="0" t="s">
        <v>3049</v>
      </c>
      <c r="F44" s="0" t="s">
        <v>2965</v>
      </c>
      <c r="G44" s="0" t="s">
        <v>1648</v>
      </c>
    </row>
    <row customHeight="1" ht="11.25">
      <c r="A45" s="0" t="s">
        <v>16</v>
      </c>
      <c r="B45" s="0" t="s">
        <v>3050</v>
      </c>
      <c r="C45" s="0" t="s">
        <v>3051</v>
      </c>
      <c r="D45" s="0" t="s">
        <v>3052</v>
      </c>
      <c r="E45" s="0" t="s">
        <v>3053</v>
      </c>
      <c r="F45" s="0" t="s">
        <v>3054</v>
      </c>
      <c r="G45" s="0" t="s">
        <v>1653</v>
      </c>
    </row>
    <row customHeight="1" ht="11.25">
      <c r="A46" s="0" t="s">
        <v>16</v>
      </c>
      <c r="B46" s="0" t="s">
        <v>3050</v>
      </c>
      <c r="C46" s="0" t="s">
        <v>3051</v>
      </c>
      <c r="D46" s="0" t="s">
        <v>3055</v>
      </c>
      <c r="E46" s="0" t="s">
        <v>3056</v>
      </c>
      <c r="F46" s="0" t="s">
        <v>2965</v>
      </c>
      <c r="G46" s="0" t="s">
        <v>1657</v>
      </c>
    </row>
    <row customHeight="1" ht="11.25">
      <c r="A47" s="0" t="s">
        <v>16</v>
      </c>
      <c r="B47" s="0" t="s">
        <v>3050</v>
      </c>
      <c r="C47" s="0" t="s">
        <v>3051</v>
      </c>
      <c r="D47" s="0" t="s">
        <v>3050</v>
      </c>
      <c r="E47" s="0" t="s">
        <v>3051</v>
      </c>
      <c r="F47" s="0" t="s">
        <v>2966</v>
      </c>
      <c r="G47" s="0" t="s">
        <v>1663</v>
      </c>
    </row>
    <row customHeight="1" ht="11.25">
      <c r="A48" s="0" t="s">
        <v>16</v>
      </c>
      <c r="B48" s="0" t="s">
        <v>3050</v>
      </c>
      <c r="C48" s="0" t="s">
        <v>3051</v>
      </c>
      <c r="D48" s="0" t="s">
        <v>3057</v>
      </c>
      <c r="E48" s="0" t="s">
        <v>3058</v>
      </c>
      <c r="F48" s="0" t="s">
        <v>2965</v>
      </c>
      <c r="G48" s="0" t="s">
        <v>1668</v>
      </c>
    </row>
    <row customHeight="1" ht="11.25">
      <c r="A49" s="0" t="s">
        <v>16</v>
      </c>
      <c r="B49" s="0" t="s">
        <v>3059</v>
      </c>
      <c r="C49" s="0" t="s">
        <v>3060</v>
      </c>
      <c r="D49" s="0" t="s">
        <v>3061</v>
      </c>
      <c r="E49" s="0" t="s">
        <v>3062</v>
      </c>
      <c r="F49" s="0" t="s">
        <v>2965</v>
      </c>
      <c r="G49" s="0" t="s">
        <v>1671</v>
      </c>
    </row>
    <row customHeight="1" ht="11.25">
      <c r="A50" s="0" t="s">
        <v>16</v>
      </c>
      <c r="B50" s="0" t="s">
        <v>3059</v>
      </c>
      <c r="C50" s="0" t="s">
        <v>3060</v>
      </c>
      <c r="D50" s="0" t="s">
        <v>3063</v>
      </c>
      <c r="E50" s="0" t="s">
        <v>3064</v>
      </c>
      <c r="F50" s="0" t="s">
        <v>2997</v>
      </c>
      <c r="G50" s="0" t="s">
        <v>1674</v>
      </c>
    </row>
    <row customHeight="1" ht="11.25">
      <c r="A51" s="0" t="s">
        <v>16</v>
      </c>
      <c r="B51" s="0" t="s">
        <v>3059</v>
      </c>
      <c r="C51" s="0" t="s">
        <v>3060</v>
      </c>
      <c r="D51" s="0" t="s">
        <v>3020</v>
      </c>
      <c r="E51" s="0" t="s">
        <v>3065</v>
      </c>
      <c r="F51" s="0" t="s">
        <v>2965</v>
      </c>
      <c r="G51" s="0" t="s">
        <v>1679</v>
      </c>
    </row>
    <row customHeight="1" ht="11.25">
      <c r="A52" s="0" t="s">
        <v>16</v>
      </c>
      <c r="B52" s="0" t="s">
        <v>3059</v>
      </c>
      <c r="C52" s="0" t="s">
        <v>3060</v>
      </c>
      <c r="D52" s="0" t="s">
        <v>3066</v>
      </c>
      <c r="E52" s="0" t="s">
        <v>3067</v>
      </c>
      <c r="F52" s="0" t="s">
        <v>2965</v>
      </c>
      <c r="G52" s="0" t="s">
        <v>1683</v>
      </c>
    </row>
    <row customHeight="1" ht="11.25">
      <c r="A53" s="0" t="s">
        <v>16</v>
      </c>
      <c r="B53" s="0" t="s">
        <v>3059</v>
      </c>
      <c r="C53" s="0" t="s">
        <v>3060</v>
      </c>
      <c r="D53" s="0" t="s">
        <v>3059</v>
      </c>
      <c r="E53" s="0" t="s">
        <v>3060</v>
      </c>
      <c r="F53" s="0" t="s">
        <v>2966</v>
      </c>
      <c r="G53" s="0" t="s">
        <v>1685</v>
      </c>
    </row>
    <row customHeight="1" ht="11.25">
      <c r="A54" s="0" t="s">
        <v>16</v>
      </c>
      <c r="B54" s="0" t="s">
        <v>3059</v>
      </c>
      <c r="C54" s="0" t="s">
        <v>3060</v>
      </c>
      <c r="D54" s="0" t="s">
        <v>3068</v>
      </c>
      <c r="E54" s="0" t="s">
        <v>3069</v>
      </c>
      <c r="F54" s="0" t="s">
        <v>2965</v>
      </c>
      <c r="G54" s="0" t="s">
        <v>1688</v>
      </c>
    </row>
    <row customHeight="1" ht="11.25">
      <c r="A55" s="0" t="s">
        <v>16</v>
      </c>
      <c r="B55" s="0" t="s">
        <v>3070</v>
      </c>
      <c r="C55" s="0" t="s">
        <v>3071</v>
      </c>
      <c r="D55" s="0" t="s">
        <v>3072</v>
      </c>
      <c r="E55" s="0" t="s">
        <v>3073</v>
      </c>
      <c r="F55" s="0" t="s">
        <v>2997</v>
      </c>
      <c r="G55" s="0" t="s">
        <v>1692</v>
      </c>
    </row>
    <row customHeight="1" ht="11.25">
      <c r="A56" s="0" t="s">
        <v>16</v>
      </c>
      <c r="B56" s="0" t="s">
        <v>3070</v>
      </c>
      <c r="C56" s="0" t="s">
        <v>3071</v>
      </c>
      <c r="D56" s="0" t="s">
        <v>3074</v>
      </c>
      <c r="E56" s="0" t="s">
        <v>3075</v>
      </c>
      <c r="F56" s="0" t="s">
        <v>2965</v>
      </c>
      <c r="G56" s="0" t="s">
        <v>1695</v>
      </c>
    </row>
    <row customHeight="1" ht="11.25">
      <c r="A57" s="0" t="s">
        <v>16</v>
      </c>
      <c r="B57" s="0" t="s">
        <v>3070</v>
      </c>
      <c r="C57" s="0" t="s">
        <v>3071</v>
      </c>
      <c r="D57" s="0" t="s">
        <v>3076</v>
      </c>
      <c r="E57" s="0" t="s">
        <v>3077</v>
      </c>
      <c r="F57" s="0" t="s">
        <v>2965</v>
      </c>
      <c r="G57" s="0" t="s">
        <v>1698</v>
      </c>
    </row>
    <row customHeight="1" ht="11.25">
      <c r="A58" s="0" t="s">
        <v>16</v>
      </c>
      <c r="B58" s="0" t="s">
        <v>3070</v>
      </c>
      <c r="C58" s="0" t="s">
        <v>3071</v>
      </c>
      <c r="D58" s="0" t="s">
        <v>3078</v>
      </c>
      <c r="E58" s="0" t="s">
        <v>3079</v>
      </c>
      <c r="F58" s="0" t="s">
        <v>2965</v>
      </c>
      <c r="G58" s="0" t="s">
        <v>1701</v>
      </c>
    </row>
    <row customHeight="1" ht="11.25">
      <c r="A59" s="0" t="s">
        <v>16</v>
      </c>
      <c r="B59" s="0" t="s">
        <v>3070</v>
      </c>
      <c r="C59" s="0" t="s">
        <v>3071</v>
      </c>
      <c r="D59" s="0" t="s">
        <v>3070</v>
      </c>
      <c r="E59" s="0" t="s">
        <v>3071</v>
      </c>
      <c r="F59" s="0" t="s">
        <v>2966</v>
      </c>
      <c r="G59" s="0" t="s">
        <v>1705</v>
      </c>
    </row>
    <row customHeight="1" ht="11.25">
      <c r="A60" s="0" t="s">
        <v>16</v>
      </c>
      <c r="B60" s="0" t="s">
        <v>3070</v>
      </c>
      <c r="C60" s="0" t="s">
        <v>3071</v>
      </c>
      <c r="D60" s="0" t="s">
        <v>3080</v>
      </c>
      <c r="E60" s="0" t="s">
        <v>3081</v>
      </c>
      <c r="F60" s="0" t="s">
        <v>2965</v>
      </c>
      <c r="G60" s="0" t="s">
        <v>1708</v>
      </c>
    </row>
    <row customHeight="1" ht="11.25">
      <c r="A61" s="0" t="s">
        <v>16</v>
      </c>
      <c r="B61" s="0" t="s">
        <v>3082</v>
      </c>
      <c r="C61" s="0" t="s">
        <v>3083</v>
      </c>
      <c r="D61" s="0" t="s">
        <v>3084</v>
      </c>
      <c r="E61" s="0" t="s">
        <v>3085</v>
      </c>
      <c r="F61" s="0" t="s">
        <v>2965</v>
      </c>
      <c r="G61" s="0" t="s">
        <v>3086</v>
      </c>
    </row>
    <row customHeight="1" ht="11.25">
      <c r="A62" s="0" t="s">
        <v>16</v>
      </c>
      <c r="B62" s="0" t="s">
        <v>3082</v>
      </c>
      <c r="C62" s="0" t="s">
        <v>3083</v>
      </c>
      <c r="D62" s="0" t="s">
        <v>3036</v>
      </c>
      <c r="E62" s="0" t="s">
        <v>3087</v>
      </c>
      <c r="F62" s="0" t="s">
        <v>2965</v>
      </c>
      <c r="G62" s="0" t="s">
        <v>3088</v>
      </c>
    </row>
    <row customHeight="1" ht="11.25">
      <c r="A63" s="0" t="s">
        <v>16</v>
      </c>
      <c r="B63" s="0" t="s">
        <v>3082</v>
      </c>
      <c r="C63" s="0" t="s">
        <v>3083</v>
      </c>
      <c r="D63" s="0" t="s">
        <v>3089</v>
      </c>
      <c r="E63" s="0" t="s">
        <v>3090</v>
      </c>
      <c r="F63" s="0" t="s">
        <v>2965</v>
      </c>
      <c r="G63" s="0" t="s">
        <v>3091</v>
      </c>
    </row>
    <row customHeight="1" ht="11.25">
      <c r="A64" s="0" t="s">
        <v>16</v>
      </c>
      <c r="B64" s="0" t="s">
        <v>3082</v>
      </c>
      <c r="C64" s="0" t="s">
        <v>3083</v>
      </c>
      <c r="D64" s="0" t="s">
        <v>3092</v>
      </c>
      <c r="E64" s="0" t="s">
        <v>3093</v>
      </c>
      <c r="F64" s="0" t="s">
        <v>2965</v>
      </c>
      <c r="G64" s="0" t="s">
        <v>3094</v>
      </c>
    </row>
    <row customHeight="1" ht="11.25">
      <c r="A65" s="0" t="s">
        <v>16</v>
      </c>
      <c r="B65" s="0" t="s">
        <v>3082</v>
      </c>
      <c r="C65" s="0" t="s">
        <v>3083</v>
      </c>
      <c r="D65" s="0" t="s">
        <v>3095</v>
      </c>
      <c r="E65" s="0" t="s">
        <v>3096</v>
      </c>
      <c r="F65" s="0" t="s">
        <v>2965</v>
      </c>
      <c r="G65" s="0" t="s">
        <v>3097</v>
      </c>
    </row>
    <row customHeight="1" ht="11.25">
      <c r="A66" s="0" t="s">
        <v>16</v>
      </c>
      <c r="B66" s="0" t="s">
        <v>3082</v>
      </c>
      <c r="C66" s="0" t="s">
        <v>3083</v>
      </c>
      <c r="D66" s="0" t="s">
        <v>3098</v>
      </c>
      <c r="E66" s="0" t="s">
        <v>3099</v>
      </c>
      <c r="F66" s="0" t="s">
        <v>2965</v>
      </c>
      <c r="G66" s="0" t="s">
        <v>3100</v>
      </c>
    </row>
    <row customHeight="1" ht="11.25">
      <c r="A67" s="0" t="s">
        <v>16</v>
      </c>
      <c r="B67" s="0" t="s">
        <v>3082</v>
      </c>
      <c r="C67" s="0" t="s">
        <v>3083</v>
      </c>
      <c r="D67" s="0" t="s">
        <v>3101</v>
      </c>
      <c r="E67" s="0" t="s">
        <v>3102</v>
      </c>
      <c r="F67" s="0" t="s">
        <v>2965</v>
      </c>
      <c r="G67" s="0" t="s">
        <v>2025</v>
      </c>
    </row>
    <row customHeight="1" ht="11.25">
      <c r="A68" s="0" t="s">
        <v>16</v>
      </c>
      <c r="B68" s="0" t="s">
        <v>3082</v>
      </c>
      <c r="C68" s="0" t="s">
        <v>3083</v>
      </c>
      <c r="D68" s="0" t="s">
        <v>3040</v>
      </c>
      <c r="E68" s="0" t="s">
        <v>3103</v>
      </c>
      <c r="F68" s="0" t="s">
        <v>2965</v>
      </c>
      <c r="G68" s="0" t="s">
        <v>3104</v>
      </c>
    </row>
    <row customHeight="1" ht="11.25">
      <c r="A69" s="0" t="s">
        <v>16</v>
      </c>
      <c r="B69" s="0" t="s">
        <v>3082</v>
      </c>
      <c r="C69" s="0" t="s">
        <v>3083</v>
      </c>
      <c r="D69" s="0" t="s">
        <v>3105</v>
      </c>
      <c r="E69" s="0" t="s">
        <v>3106</v>
      </c>
      <c r="F69" s="0" t="s">
        <v>2965</v>
      </c>
      <c r="G69" s="0" t="s">
        <v>2228</v>
      </c>
    </row>
    <row customHeight="1" ht="11.25">
      <c r="A70" s="0" t="s">
        <v>16</v>
      </c>
      <c r="B70" s="0" t="s">
        <v>3082</v>
      </c>
      <c r="C70" s="0" t="s">
        <v>3083</v>
      </c>
      <c r="D70" s="0" t="s">
        <v>3082</v>
      </c>
      <c r="E70" s="0" t="s">
        <v>3083</v>
      </c>
      <c r="F70" s="0" t="s">
        <v>2966</v>
      </c>
      <c r="G70" s="0" t="s">
        <v>3107</v>
      </c>
    </row>
    <row customHeight="1" ht="11.25">
      <c r="A71" s="0" t="s">
        <v>16</v>
      </c>
      <c r="B71" s="0" t="s">
        <v>3082</v>
      </c>
      <c r="C71" s="0" t="s">
        <v>3083</v>
      </c>
      <c r="D71" s="0" t="s">
        <v>3108</v>
      </c>
      <c r="E71" s="0" t="s">
        <v>3109</v>
      </c>
      <c r="F71" s="0" t="s">
        <v>2965</v>
      </c>
      <c r="G71" s="0" t="s">
        <v>3110</v>
      </c>
    </row>
    <row customHeight="1" ht="11.25">
      <c r="A72" s="0" t="s">
        <v>16</v>
      </c>
      <c r="B72" s="0" t="s">
        <v>3082</v>
      </c>
      <c r="C72" s="0" t="s">
        <v>3083</v>
      </c>
      <c r="D72" s="0" t="s">
        <v>3111</v>
      </c>
      <c r="E72" s="0" t="s">
        <v>3112</v>
      </c>
      <c r="F72" s="0" t="s">
        <v>2965</v>
      </c>
      <c r="G72" s="0" t="s">
        <v>3113</v>
      </c>
    </row>
    <row customHeight="1" ht="11.25">
      <c r="A73" s="0" t="s">
        <v>16</v>
      </c>
      <c r="B73" s="0" t="s">
        <v>3114</v>
      </c>
      <c r="C73" s="0" t="s">
        <v>3115</v>
      </c>
      <c r="D73" s="0" t="s">
        <v>3116</v>
      </c>
      <c r="E73" s="0" t="s">
        <v>3117</v>
      </c>
      <c r="F73" s="0" t="s">
        <v>2965</v>
      </c>
      <c r="G73" s="0" t="s">
        <v>3118</v>
      </c>
    </row>
    <row customHeight="1" ht="11.25">
      <c r="A74" s="0" t="s">
        <v>16</v>
      </c>
      <c r="B74" s="0" t="s">
        <v>3114</v>
      </c>
      <c r="C74" s="0" t="s">
        <v>3115</v>
      </c>
      <c r="D74" s="0" t="s">
        <v>3119</v>
      </c>
      <c r="E74" s="0" t="s">
        <v>3120</v>
      </c>
      <c r="F74" s="0" t="s">
        <v>2997</v>
      </c>
      <c r="G74" s="0" t="s">
        <v>3121</v>
      </c>
    </row>
    <row customHeight="1" ht="11.25">
      <c r="A75" s="0" t="s">
        <v>16</v>
      </c>
      <c r="B75" s="0" t="s">
        <v>3114</v>
      </c>
      <c r="C75" s="0" t="s">
        <v>3115</v>
      </c>
      <c r="D75" s="0" t="s">
        <v>3122</v>
      </c>
      <c r="E75" s="0" t="s">
        <v>3123</v>
      </c>
      <c r="F75" s="0" t="s">
        <v>2965</v>
      </c>
      <c r="G75" s="0" t="s">
        <v>3124</v>
      </c>
    </row>
    <row customHeight="1" ht="11.25">
      <c r="A76" s="0" t="s">
        <v>16</v>
      </c>
      <c r="B76" s="0" t="s">
        <v>3114</v>
      </c>
      <c r="C76" s="0" t="s">
        <v>3115</v>
      </c>
      <c r="D76" s="0" t="s">
        <v>3125</v>
      </c>
      <c r="E76" s="0" t="s">
        <v>3126</v>
      </c>
      <c r="F76" s="0" t="s">
        <v>2965</v>
      </c>
      <c r="G76" s="0" t="s">
        <v>3127</v>
      </c>
    </row>
    <row customHeight="1" ht="11.25">
      <c r="A77" s="0" t="s">
        <v>16</v>
      </c>
      <c r="B77" s="0" t="s">
        <v>3114</v>
      </c>
      <c r="C77" s="0" t="s">
        <v>3115</v>
      </c>
      <c r="D77" s="0" t="s">
        <v>3114</v>
      </c>
      <c r="E77" s="0" t="s">
        <v>3115</v>
      </c>
      <c r="F77" s="0" t="s">
        <v>2966</v>
      </c>
      <c r="G77" s="0" t="s">
        <v>3128</v>
      </c>
    </row>
    <row customHeight="1" ht="11.25">
      <c r="A78" s="0" t="s">
        <v>16</v>
      </c>
      <c r="B78" s="0" t="s">
        <v>3114</v>
      </c>
      <c r="C78" s="0" t="s">
        <v>3115</v>
      </c>
      <c r="D78" s="0" t="s">
        <v>3129</v>
      </c>
      <c r="E78" s="0" t="s">
        <v>3130</v>
      </c>
      <c r="F78" s="0" t="s">
        <v>2965</v>
      </c>
      <c r="G78" s="0" t="s">
        <v>3131</v>
      </c>
    </row>
    <row customHeight="1" ht="11.25">
      <c r="A79" s="0" t="s">
        <v>16</v>
      </c>
      <c r="B79" s="0" t="s">
        <v>3132</v>
      </c>
      <c r="C79" s="0" t="s">
        <v>3133</v>
      </c>
      <c r="D79" s="0" t="s">
        <v>3134</v>
      </c>
      <c r="E79" s="0" t="s">
        <v>3135</v>
      </c>
      <c r="F79" s="0" t="s">
        <v>2965</v>
      </c>
      <c r="G79" s="0" t="s">
        <v>3136</v>
      </c>
    </row>
    <row customHeight="1" ht="11.25">
      <c r="A80" s="0" t="s">
        <v>16</v>
      </c>
      <c r="B80" s="0" t="s">
        <v>3132</v>
      </c>
      <c r="C80" s="0" t="s">
        <v>3133</v>
      </c>
      <c r="D80" s="0" t="s">
        <v>3137</v>
      </c>
      <c r="E80" s="0" t="s">
        <v>3138</v>
      </c>
      <c r="F80" s="0" t="s">
        <v>2997</v>
      </c>
      <c r="G80" s="0" t="s">
        <v>3139</v>
      </c>
    </row>
    <row customHeight="1" ht="11.25">
      <c r="A81" s="0" t="s">
        <v>16</v>
      </c>
      <c r="B81" s="0" t="s">
        <v>3132</v>
      </c>
      <c r="C81" s="0" t="s">
        <v>3133</v>
      </c>
      <c r="D81" s="0" t="s">
        <v>3140</v>
      </c>
      <c r="E81" s="0" t="s">
        <v>3141</v>
      </c>
      <c r="F81" s="0" t="s">
        <v>2965</v>
      </c>
      <c r="G81" s="0" t="s">
        <v>3142</v>
      </c>
    </row>
    <row customHeight="1" ht="11.25">
      <c r="A82" s="0" t="s">
        <v>16</v>
      </c>
      <c r="B82" s="0" t="s">
        <v>3132</v>
      </c>
      <c r="C82" s="0" t="s">
        <v>3133</v>
      </c>
      <c r="D82" s="0" t="s">
        <v>3143</v>
      </c>
      <c r="E82" s="0" t="s">
        <v>3144</v>
      </c>
      <c r="F82" s="0" t="s">
        <v>2965</v>
      </c>
      <c r="G82" s="0" t="s">
        <v>3145</v>
      </c>
    </row>
    <row customHeight="1" ht="11.25">
      <c r="A83" s="0" t="s">
        <v>16</v>
      </c>
      <c r="B83" s="0" t="s">
        <v>3132</v>
      </c>
      <c r="C83" s="0" t="s">
        <v>3133</v>
      </c>
      <c r="D83" s="0" t="s">
        <v>3146</v>
      </c>
      <c r="E83" s="0" t="s">
        <v>3147</v>
      </c>
      <c r="F83" s="0" t="s">
        <v>2965</v>
      </c>
      <c r="G83" s="0" t="s">
        <v>3148</v>
      </c>
    </row>
    <row customHeight="1" ht="11.25">
      <c r="A84" s="0" t="s">
        <v>16</v>
      </c>
      <c r="B84" s="0" t="s">
        <v>3132</v>
      </c>
      <c r="C84" s="0" t="s">
        <v>3133</v>
      </c>
      <c r="D84" s="0" t="s">
        <v>3132</v>
      </c>
      <c r="E84" s="0" t="s">
        <v>3133</v>
      </c>
      <c r="F84" s="0" t="s">
        <v>2966</v>
      </c>
      <c r="G84" s="0" t="s">
        <v>3149</v>
      </c>
    </row>
    <row customHeight="1" ht="11.25">
      <c r="A85" s="0" t="s">
        <v>16</v>
      </c>
      <c r="B85" s="0" t="s">
        <v>3132</v>
      </c>
      <c r="C85" s="0" t="s">
        <v>3133</v>
      </c>
      <c r="D85" s="0" t="s">
        <v>3150</v>
      </c>
      <c r="E85" s="0" t="s">
        <v>3151</v>
      </c>
      <c r="F85" s="0" t="s">
        <v>2965</v>
      </c>
      <c r="G85" s="0" t="s">
        <v>3152</v>
      </c>
    </row>
    <row customHeight="1" ht="11.25">
      <c r="A86" s="0" t="s">
        <v>16</v>
      </c>
      <c r="B86" s="0" t="s">
        <v>3153</v>
      </c>
      <c r="C86" s="0" t="s">
        <v>3154</v>
      </c>
      <c r="D86" s="0" t="s">
        <v>3155</v>
      </c>
      <c r="E86" s="0" t="s">
        <v>3156</v>
      </c>
      <c r="F86" s="0" t="s">
        <v>3054</v>
      </c>
      <c r="G86" s="0" t="s">
        <v>3157</v>
      </c>
    </row>
    <row customHeight="1" ht="11.25">
      <c r="A87" s="0" t="s">
        <v>16</v>
      </c>
      <c r="B87" s="0" t="s">
        <v>3153</v>
      </c>
      <c r="C87" s="0" t="s">
        <v>3154</v>
      </c>
      <c r="D87" s="0" t="s">
        <v>3158</v>
      </c>
      <c r="E87" s="0" t="s">
        <v>3159</v>
      </c>
      <c r="F87" s="0" t="s">
        <v>2965</v>
      </c>
      <c r="G87" s="0" t="s">
        <v>3160</v>
      </c>
    </row>
    <row customHeight="1" ht="11.25">
      <c r="A88" s="0" t="s">
        <v>16</v>
      </c>
      <c r="B88" s="0" t="s">
        <v>3153</v>
      </c>
      <c r="C88" s="0" t="s">
        <v>3154</v>
      </c>
      <c r="D88" s="0" t="s">
        <v>3161</v>
      </c>
      <c r="E88" s="0" t="s">
        <v>3162</v>
      </c>
      <c r="F88" s="0" t="s">
        <v>2965</v>
      </c>
      <c r="G88" s="0" t="s">
        <v>3163</v>
      </c>
    </row>
    <row customHeight="1" ht="11.25">
      <c r="A89" s="0" t="s">
        <v>16</v>
      </c>
      <c r="B89" s="0" t="s">
        <v>3153</v>
      </c>
      <c r="C89" s="0" t="s">
        <v>3154</v>
      </c>
      <c r="D89" s="0" t="s">
        <v>3164</v>
      </c>
      <c r="E89" s="0" t="s">
        <v>3165</v>
      </c>
      <c r="F89" s="0" t="s">
        <v>2965</v>
      </c>
      <c r="G89" s="0" t="s">
        <v>3166</v>
      </c>
    </row>
    <row customHeight="1" ht="11.25">
      <c r="A90" s="0" t="s">
        <v>16</v>
      </c>
      <c r="B90" s="0" t="s">
        <v>3153</v>
      </c>
      <c r="C90" s="0" t="s">
        <v>3154</v>
      </c>
      <c r="D90" s="0" t="s">
        <v>3167</v>
      </c>
      <c r="E90" s="0" t="s">
        <v>3168</v>
      </c>
      <c r="F90" s="0" t="s">
        <v>2965</v>
      </c>
      <c r="G90" s="0" t="s">
        <v>3169</v>
      </c>
    </row>
    <row customHeight="1" ht="11.25">
      <c r="A91" s="0" t="s">
        <v>16</v>
      </c>
      <c r="B91" s="0" t="s">
        <v>3153</v>
      </c>
      <c r="C91" s="0" t="s">
        <v>3154</v>
      </c>
      <c r="D91" s="0" t="s">
        <v>3170</v>
      </c>
      <c r="E91" s="0" t="s">
        <v>3171</v>
      </c>
      <c r="F91" s="0" t="s">
        <v>2965</v>
      </c>
      <c r="G91" s="0" t="s">
        <v>3172</v>
      </c>
    </row>
    <row customHeight="1" ht="11.25">
      <c r="A92" s="0" t="s">
        <v>16</v>
      </c>
      <c r="B92" s="0" t="s">
        <v>3153</v>
      </c>
      <c r="C92" s="0" t="s">
        <v>3154</v>
      </c>
      <c r="D92" s="0" t="s">
        <v>3048</v>
      </c>
      <c r="E92" s="0" t="s">
        <v>3173</v>
      </c>
      <c r="F92" s="0" t="s">
        <v>2965</v>
      </c>
      <c r="G92" s="0" t="s">
        <v>3174</v>
      </c>
    </row>
    <row customHeight="1" ht="11.25">
      <c r="A93" s="0" t="s">
        <v>16</v>
      </c>
      <c r="B93" s="0" t="s">
        <v>3153</v>
      </c>
      <c r="C93" s="0" t="s">
        <v>3154</v>
      </c>
      <c r="D93" s="0" t="s">
        <v>3175</v>
      </c>
      <c r="E93" s="0" t="s">
        <v>3176</v>
      </c>
      <c r="F93" s="0" t="s">
        <v>2965</v>
      </c>
      <c r="G93" s="0" t="s">
        <v>3177</v>
      </c>
    </row>
    <row customHeight="1" ht="11.25">
      <c r="A94" s="0" t="s">
        <v>16</v>
      </c>
      <c r="B94" s="0" t="s">
        <v>3153</v>
      </c>
      <c r="C94" s="0" t="s">
        <v>3154</v>
      </c>
      <c r="D94" s="0" t="s">
        <v>3153</v>
      </c>
      <c r="E94" s="0" t="s">
        <v>3154</v>
      </c>
      <c r="F94" s="0" t="s">
        <v>2966</v>
      </c>
      <c r="G94" s="0" t="s">
        <v>3178</v>
      </c>
    </row>
    <row customHeight="1" ht="11.25">
      <c r="A95" s="0" t="s">
        <v>16</v>
      </c>
      <c r="B95" s="0" t="s">
        <v>3179</v>
      </c>
      <c r="C95" s="0" t="s">
        <v>3180</v>
      </c>
      <c r="D95" s="0" t="s">
        <v>3179</v>
      </c>
      <c r="E95" s="0" t="s">
        <v>3180</v>
      </c>
      <c r="F95" s="0" t="s">
        <v>3181</v>
      </c>
      <c r="G95" s="0" t="s">
        <v>3182</v>
      </c>
    </row>
    <row customHeight="1" ht="11.25">
      <c r="A96" s="0" t="s">
        <v>16</v>
      </c>
      <c r="B96" s="0" t="s">
        <v>99</v>
      </c>
      <c r="C96" s="0" t="s">
        <v>100</v>
      </c>
      <c r="D96" s="0" t="s">
        <v>99</v>
      </c>
      <c r="E96" s="0" t="s">
        <v>100</v>
      </c>
      <c r="F96" s="0" t="s">
        <v>3181</v>
      </c>
      <c r="G96" s="0" t="s">
        <v>98</v>
      </c>
    </row>
    <row customHeight="1" ht="11.25">
      <c r="A97" s="0" t="s">
        <v>16</v>
      </c>
      <c r="B97" s="0" t="s">
        <v>3183</v>
      </c>
      <c r="C97" s="0" t="s">
        <v>3184</v>
      </c>
      <c r="D97" s="0" t="s">
        <v>3183</v>
      </c>
      <c r="E97" s="0" t="s">
        <v>3184</v>
      </c>
      <c r="F97" s="0" t="s">
        <v>3181</v>
      </c>
      <c r="G97" s="0"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14981-0888-D3F8-8886-593B0C00FD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089" width="9.140625"/>
    <col min="2" max="2" style="14089" width="84.28125" customWidth="1"/>
    <col min="3" max="3" style="14089" width="9.140625"/>
  </cols>
  <sheetData>
    <row customHeight="1" ht="11.25">
      <c r="A1" s="1062" t="s">
        <v>3203</v>
      </c>
      <c r="B1" s="1062" t="s">
        <v>3204</v>
      </c>
      <c r="C1" s="1062" t="s">
        <v>1171</v>
      </c>
    </row>
    <row customHeight="1" ht="11.25">
      <c r="A2" s="1062">
        <v>4189678</v>
      </c>
      <c r="B2" s="1062" t="s">
        <v>3205</v>
      </c>
      <c r="C2" s="1062" t="s">
        <v>3206</v>
      </c>
    </row>
    <row customHeight="1" ht="11.25">
      <c r="A3" s="1062">
        <v>4190415</v>
      </c>
      <c r="B3" s="1062" t="s">
        <v>3207</v>
      </c>
      <c r="C3" s="1062"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B8508-A9B8-ABA8-CB73-2B10C72397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093" width="38.421875" customWidth="1"/>
    <col min="2" max="5" style="14093" width="9.140625"/>
  </cols>
  <sheetData>
    <row customHeight="1" ht="15">
      <c r="A1" s="390" t="s">
        <v>3208</v>
      </c>
      <c r="B1" s="390" t="s">
        <v>3209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0C908-FDEC-0698-0F82-9BD109B311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3210</v>
      </c>
      <c r="B1" s="0" t="b">
        <v>1</v>
      </c>
    </row>
    <row customHeight="1" ht="11.25">
      <c r="A2" s="0" t="s">
        <v>3211</v>
      </c>
      <c r="B2" s="0" t="b">
        <v>0</v>
      </c>
    </row>
    <row customHeight="1" ht="11.25">
      <c r="A3" s="0" t="s">
        <v>3212</v>
      </c>
      <c r="B3" s="0" t="b">
        <v>0</v>
      </c>
    </row>
    <row customHeight="1" ht="11.25">
      <c r="A4" s="0" t="s">
        <v>3213</v>
      </c>
      <c r="B4" s="0" t="b">
        <v>0</v>
      </c>
    </row>
    <row customHeight="1" ht="11.25">
      <c r="A5" s="0" t="s">
        <v>3214</v>
      </c>
      <c r="B5" s="0" t="b">
        <v>0</v>
      </c>
    </row>
    <row customHeight="1" ht="11.25">
      <c r="A6" s="0" t="s">
        <v>3215</v>
      </c>
      <c r="B6" s="0" t="b">
        <v>1</v>
      </c>
    </row>
    <row customHeight="1" ht="11.25">
      <c r="A7" s="0" t="s">
        <v>3216</v>
      </c>
      <c r="B7" s="0" t="b">
        <v>0</v>
      </c>
    </row>
    <row customHeight="1" ht="11.25">
      <c r="A8" s="0" t="s">
        <v>3217</v>
      </c>
      <c r="B8" s="0" t="b">
        <v>0</v>
      </c>
    </row>
    <row customHeight="1" ht="11.25">
      <c r="A9" s="0" t="s">
        <v>3218</v>
      </c>
      <c r="B9" s="0" t="b">
        <v>0</v>
      </c>
    </row>
    <row customHeight="1" ht="11.25">
      <c r="A10" s="0" t="s">
        <v>3219</v>
      </c>
      <c r="B10" s="0" t="b">
        <v>0</v>
      </c>
    </row>
    <row customHeight="1" ht="11.25">
      <c r="A11" s="0" t="s">
        <v>3220</v>
      </c>
      <c r="B11" s="0" t="b">
        <v>0</v>
      </c>
    </row>
    <row customHeight="1" ht="11.25">
      <c r="A12" s="0" t="s">
        <v>3221</v>
      </c>
      <c r="B12" s="0" t="b">
        <v>0</v>
      </c>
    </row>
    <row customHeight="1" ht="11.25">
      <c r="A13" s="0" t="s">
        <v>3222</v>
      </c>
      <c r="B13" s="0" t="b">
        <v>0</v>
      </c>
    </row>
    <row customHeight="1" ht="11.25">
      <c r="A14" s="0" t="s">
        <v>3223</v>
      </c>
      <c r="B14" s="0" t="b">
        <v>1</v>
      </c>
    </row>
    <row customHeight="1" ht="11.25">
      <c r="A15" s="0" t="s">
        <v>3224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E66E8-F5F5-D542-DEEB-212CF53E7E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16"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A8788-A6CA-88A8-D3DC-0F07ABCA86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299" width="36.28125" customWidth="1"/>
    <col min="2" max="2" style="11299" width="21.140625" customWidth="1"/>
  </cols>
  <sheetData>
    <row customHeight="1" ht="11.25">
      <c r="A1" s="294" t="s">
        <v>3225</v>
      </c>
      <c r="B1" s="294" t="s">
        <v>3226</v>
      </c>
    </row>
    <row customHeight="1" ht="11.25">
      <c r="A2" s="289" t="s">
        <v>3227</v>
      </c>
      <c r="B2" s="289" t="s">
        <v>3228</v>
      </c>
    </row>
    <row customHeight="1" ht="11.25">
      <c r="A3" s="289" t="s">
        <v>3229</v>
      </c>
      <c r="B3" s="289" t="s">
        <v>3230</v>
      </c>
    </row>
    <row customHeight="1" ht="11.25">
      <c r="A4" s="289" t="s">
        <v>3231</v>
      </c>
      <c r="B4" s="289" t="s">
        <v>3232</v>
      </c>
    </row>
    <row customHeight="1" ht="11.25">
      <c r="A5" s="289" t="s">
        <v>3233</v>
      </c>
      <c r="B5" s="289" t="s">
        <v>3234</v>
      </c>
    </row>
    <row customHeight="1" ht="11.25">
      <c r="A6" s="289" t="s">
        <v>3235</v>
      </c>
      <c r="B6" s="289" t="s">
        <v>3236</v>
      </c>
    </row>
    <row customHeight="1" ht="11.25">
      <c r="A7" s="289" t="s">
        <v>3237</v>
      </c>
      <c r="B7" s="289" t="s">
        <v>3238</v>
      </c>
    </row>
    <row customHeight="1" ht="11.25">
      <c r="A8" s="289" t="s">
        <v>3239</v>
      </c>
      <c r="B8" s="289" t="s">
        <v>3240</v>
      </c>
    </row>
    <row customHeight="1" ht="11.25">
      <c r="A9" s="289" t="s">
        <v>3241</v>
      </c>
      <c r="B9" s="289" t="s">
        <v>3242</v>
      </c>
    </row>
    <row customHeight="1" ht="11.25">
      <c r="A10" s="289" t="s">
        <v>3243</v>
      </c>
      <c r="B10" s="289" t="s">
        <v>3244</v>
      </c>
    </row>
    <row customHeight="1" ht="11.25">
      <c r="A11" s="289" t="s">
        <v>3245</v>
      </c>
      <c r="B11" s="289" t="s">
        <v>3246</v>
      </c>
    </row>
    <row customHeight="1" ht="11.25">
      <c r="A12" s="289" t="s">
        <v>3247</v>
      </c>
      <c r="B12" s="289" t="s">
        <v>3248</v>
      </c>
    </row>
    <row customHeight="1" ht="11.25">
      <c r="A13" s="289" t="s">
        <v>3249</v>
      </c>
      <c r="B13" s="289" t="s">
        <v>3250</v>
      </c>
    </row>
    <row customHeight="1" ht="11.25">
      <c r="A14" s="289" t="s">
        <v>3251</v>
      </c>
      <c r="B14" s="289" t="s">
        <v>3252</v>
      </c>
    </row>
    <row customHeight="1" ht="11.25">
      <c r="A15" s="289" t="s">
        <v>3253</v>
      </c>
      <c r="B15" s="289" t="s">
        <v>3254</v>
      </c>
    </row>
    <row customHeight="1" ht="11.25">
      <c r="A16" s="289" t="s">
        <v>3255</v>
      </c>
      <c r="B16" s="289" t="s">
        <v>3256</v>
      </c>
    </row>
    <row customHeight="1" ht="11.25">
      <c r="A17" s="289" t="s">
        <v>3257</v>
      </c>
      <c r="B17" s="289" t="s">
        <v>3258</v>
      </c>
    </row>
    <row customHeight="1" ht="11.25">
      <c r="A18" s="289" t="s">
        <v>3259</v>
      </c>
      <c r="B18" s="289" t="s">
        <v>3260</v>
      </c>
    </row>
    <row customHeight="1" ht="11.25">
      <c r="A19" s="289" t="s">
        <v>3261</v>
      </c>
      <c r="B19" s="289" t="s">
        <v>3262</v>
      </c>
    </row>
    <row customHeight="1" ht="11.25">
      <c r="A20" s="289" t="s">
        <v>3263</v>
      </c>
      <c r="B20" s="289" t="s">
        <v>3264</v>
      </c>
    </row>
    <row customHeight="1" ht="11.25">
      <c r="A21" s="289" t="s">
        <v>3265</v>
      </c>
      <c r="B21" s="289" t="s">
        <v>3266</v>
      </c>
    </row>
    <row customHeight="1" ht="11.25">
      <c r="A22" s="289" t="s">
        <v>3267</v>
      </c>
      <c r="B22" s="289" t="s">
        <v>3268</v>
      </c>
    </row>
    <row customHeight="1" ht="11.25">
      <c r="A23" s="289" t="s">
        <v>3269</v>
      </c>
      <c r="B23" s="289" t="s">
        <v>3270</v>
      </c>
    </row>
    <row customHeight="1" ht="11.25">
      <c r="A24" s="289" t="s">
        <v>3271</v>
      </c>
      <c r="B24" s="289" t="s">
        <v>3272</v>
      </c>
    </row>
    <row customHeight="1" ht="11.25">
      <c r="A25" s="289" t="s">
        <v>3273</v>
      </c>
      <c r="B25" s="289" t="s">
        <v>3274</v>
      </c>
    </row>
    <row customHeight="1" ht="11.25">
      <c r="A26" s="289" t="s">
        <v>3275</v>
      </c>
      <c r="B26" s="289" t="s">
        <v>3276</v>
      </c>
    </row>
    <row customHeight="1" ht="11.25">
      <c r="A27" s="289" t="s">
        <v>3277</v>
      </c>
      <c r="B27" s="289" t="s">
        <v>3278</v>
      </c>
    </row>
    <row customHeight="1" ht="11.25">
      <c r="A28" s="289" t="s">
        <v>3279</v>
      </c>
      <c r="B28" s="289" t="s">
        <v>3280</v>
      </c>
    </row>
    <row customHeight="1" ht="11.25">
      <c r="A29" s="289" t="s">
        <v>3281</v>
      </c>
      <c r="B29" s="289" t="s">
        <v>3282</v>
      </c>
    </row>
    <row customHeight="1" ht="11.25">
      <c r="A30" s="289" t="s">
        <v>3283</v>
      </c>
      <c r="B30" s="289" t="s">
        <v>3284</v>
      </c>
    </row>
    <row customHeight="1" ht="11.25">
      <c r="A31" s="289" t="s">
        <v>3285</v>
      </c>
      <c r="B31" s="289" t="s">
        <v>3286</v>
      </c>
    </row>
    <row customHeight="1" ht="11.25">
      <c r="A32" s="289" t="s">
        <v>3287</v>
      </c>
      <c r="B32" s="289" t="s">
        <v>3288</v>
      </c>
    </row>
    <row customHeight="1" ht="11.25">
      <c r="A33" s="289" t="s">
        <v>3289</v>
      </c>
      <c r="B33" s="289" t="s">
        <v>3290</v>
      </c>
    </row>
    <row customHeight="1" ht="11.25">
      <c r="A34" s="289" t="s">
        <v>3291</v>
      </c>
      <c r="B34" s="289" t="s">
        <v>3292</v>
      </c>
    </row>
    <row customHeight="1" ht="11.25">
      <c r="A35" s="289" t="s">
        <v>3293</v>
      </c>
      <c r="B35" s="289" t="s">
        <v>3294</v>
      </c>
    </row>
    <row customHeight="1" ht="11.25">
      <c r="A36" s="289" t="s">
        <v>3295</v>
      </c>
      <c r="B36" s="289" t="s">
        <v>3296</v>
      </c>
    </row>
    <row customHeight="1" ht="11.25">
      <c r="A37" s="289" t="s">
        <v>3297</v>
      </c>
      <c r="B37" s="289" t="s">
        <v>3298</v>
      </c>
    </row>
    <row customHeight="1" ht="11.25">
      <c r="A38" s="289" t="s">
        <v>3299</v>
      </c>
      <c r="B38" s="289" t="s">
        <v>3300</v>
      </c>
    </row>
    <row customHeight="1" ht="11.25">
      <c r="A39" s="289" t="s">
        <v>3301</v>
      </c>
      <c r="B39" s="289" t="s">
        <v>3302</v>
      </c>
    </row>
    <row customHeight="1" ht="11.25">
      <c r="A40" s="289" t="s">
        <v>3303</v>
      </c>
      <c r="B40" s="289" t="s">
        <v>3304</v>
      </c>
    </row>
    <row customHeight="1" ht="11.25">
      <c r="A41" s="289" t="s">
        <v>3305</v>
      </c>
      <c r="B41" s="289" t="s">
        <v>3306</v>
      </c>
    </row>
    <row customHeight="1" ht="11.25">
      <c r="A42" s="289" t="s">
        <v>3307</v>
      </c>
      <c r="B42" s="289" t="s">
        <v>3308</v>
      </c>
    </row>
    <row customHeight="1" ht="11.25">
      <c r="A43" s="289" t="s">
        <v>3309</v>
      </c>
      <c r="B43" s="289" t="s">
        <v>3310</v>
      </c>
    </row>
    <row customHeight="1" ht="11.25">
      <c r="A44" s="289" t="s">
        <v>3311</v>
      </c>
      <c r="B44" s="289" t="s">
        <v>3312</v>
      </c>
    </row>
    <row customHeight="1" ht="11.25">
      <c r="A45" s="289" t="s">
        <v>3313</v>
      </c>
      <c r="B45" s="289" t="s">
        <v>3314</v>
      </c>
    </row>
    <row customHeight="1" ht="11.25">
      <c r="A46" s="289" t="s">
        <v>3315</v>
      </c>
      <c r="B46" s="289" t="s">
        <v>3316</v>
      </c>
    </row>
    <row customHeight="1" ht="11.25">
      <c r="A47" s="289" t="s">
        <v>3317</v>
      </c>
      <c r="B47" s="289" t="s">
        <v>3318</v>
      </c>
    </row>
    <row customHeight="1" ht="11.25">
      <c r="A48" s="289" t="s">
        <v>3319</v>
      </c>
      <c r="B48" s="289" t="s">
        <v>3320</v>
      </c>
    </row>
    <row customHeight="1" ht="11.25">
      <c r="A49" s="289" t="s">
        <v>3321</v>
      </c>
      <c r="B49" s="289" t="s">
        <v>3322</v>
      </c>
    </row>
    <row customHeight="1" ht="11.25">
      <c r="A50" s="289" t="s">
        <v>3323</v>
      </c>
      <c r="B50" s="289" t="s">
        <v>3324</v>
      </c>
    </row>
    <row customHeight="1" ht="11.25">
      <c r="A51" s="289" t="s">
        <v>3325</v>
      </c>
      <c r="B51" s="289" t="s">
        <v>3326</v>
      </c>
    </row>
    <row customHeight="1" ht="11.25">
      <c r="A52" s="289" t="s">
        <v>3327</v>
      </c>
      <c r="B52" s="289" t="s">
        <v>3328</v>
      </c>
    </row>
    <row customHeight="1" ht="11.25">
      <c r="A53" s="289" t="s">
        <v>3329</v>
      </c>
      <c r="B53" s="289" t="s">
        <v>3330</v>
      </c>
    </row>
    <row customHeight="1" ht="11.25">
      <c r="A54" s="289" t="s">
        <v>3331</v>
      </c>
      <c r="B54" s="289" t="s">
        <v>3332</v>
      </c>
    </row>
    <row customHeight="1" ht="11.25">
      <c r="A55" s="289" t="s">
        <v>3333</v>
      </c>
      <c r="B55" s="289" t="s">
        <v>3334</v>
      </c>
    </row>
    <row customHeight="1" ht="11.25">
      <c r="A56" s="289" t="s">
        <v>3335</v>
      </c>
      <c r="B56" s="289" t="s">
        <v>3336</v>
      </c>
    </row>
    <row customHeight="1" ht="11.25">
      <c r="A57" s="289" t="s">
        <v>3337</v>
      </c>
      <c r="B57" s="289" t="s">
        <v>3338</v>
      </c>
    </row>
    <row customHeight="1" ht="11.25">
      <c r="A58" s="289" t="s">
        <v>3339</v>
      </c>
      <c r="B58" s="289" t="s">
        <v>3340</v>
      </c>
    </row>
    <row customHeight="1" ht="11.25">
      <c r="A59" s="289" t="s">
        <v>3341</v>
      </c>
      <c r="B59" s="289" t="s">
        <v>3342</v>
      </c>
    </row>
    <row customHeight="1" ht="11.25">
      <c r="A60" s="289" t="s">
        <v>3343</v>
      </c>
      <c r="B60" s="289" t="s">
        <v>3344</v>
      </c>
    </row>
    <row customHeight="1" ht="11.25">
      <c r="A61" s="289"/>
      <c r="B61" s="289" t="s">
        <v>3345</v>
      </c>
    </row>
    <row customHeight="1" ht="11.25">
      <c r="A62" s="289"/>
      <c r="B62" s="289" t="s">
        <v>3346</v>
      </c>
    </row>
    <row customHeight="1" ht="11.25">
      <c r="A63" s="289"/>
      <c r="B63" s="289" t="s">
        <v>3347</v>
      </c>
    </row>
    <row customHeight="1" ht="11.25">
      <c r="A64" s="289"/>
      <c r="B64" s="289" t="s">
        <v>3348</v>
      </c>
    </row>
    <row customHeight="1" ht="11.25">
      <c r="A65" s="289"/>
      <c r="B65" s="289" t="s">
        <v>3349</v>
      </c>
    </row>
    <row customHeight="1" ht="11.25">
      <c r="A66" s="289"/>
      <c r="B66" s="289" t="s">
        <v>3350</v>
      </c>
    </row>
    <row customHeight="1" ht="11.25">
      <c r="A67" s="289"/>
      <c r="B67" s="289" t="s">
        <v>3351</v>
      </c>
    </row>
    <row customHeight="1" ht="11.25">
      <c r="A68" s="289"/>
      <c r="B68" s="289" t="s">
        <v>3352</v>
      </c>
    </row>
    <row customHeight="1" ht="11.25">
      <c r="A69" s="289"/>
      <c r="B69" s="289" t="s">
        <v>3353</v>
      </c>
    </row>
    <row customHeight="1" ht="11.25">
      <c r="A70" s="289"/>
      <c r="B70" s="289" t="s">
        <v>3354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D828-4B7F-6AF1-D0BA-E2690300C7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299" width="3.7109375" customWidth="1"/>
    <col min="2" max="2" style="11299" width="90.7109375" customWidth="1"/>
    <col min="3" max="4" style="11299" width="9.140625"/>
  </cols>
  <sheetData>
    <row customHeight="1" ht="11.25">
      <c r="B1" s="320" t="s">
        <v>3355</v>
      </c>
    </row>
    <row customHeight="1" ht="90">
      <c r="B2" s="321" t="s">
        <v>3356</v>
      </c>
    </row>
    <row customHeight="1" ht="67.5">
      <c r="B3" s="321" t="s">
        <v>3357</v>
      </c>
    </row>
    <row customHeight="1" ht="33.75">
      <c r="B4" s="321" t="s">
        <v>3358</v>
      </c>
    </row>
    <row customHeight="1" ht="11.25">
      <c r="B5" s="321" t="s">
        <v>3359</v>
      </c>
    </row>
    <row customHeight="1" ht="22.5">
      <c r="B6" s="321" t="s">
        <v>3360</v>
      </c>
    </row>
    <row customHeight="1" ht="22.5">
      <c r="B7" s="321" t="s">
        <v>3361</v>
      </c>
    </row>
    <row customHeight="1" ht="22.5">
      <c r="B8" s="321" t="s">
        <v>3362</v>
      </c>
    </row>
    <row customHeight="1" ht="22.5">
      <c r="B9" s="321" t="s">
        <v>3363</v>
      </c>
    </row>
    <row customHeight="1" ht="56.25">
      <c r="B10" s="321" t="s">
        <v>3364</v>
      </c>
    </row>
    <row customHeight="1" ht="12.75">
      <c r="B11" s="386" t="s">
        <v>3365</v>
      </c>
    </row>
    <row customHeight="1" ht="11.25">
      <c r="B12" s="320" t="s">
        <v>3366</v>
      </c>
    </row>
    <row customHeight="1" ht="22.5">
      <c r="B13" s="321" t="s">
        <v>3367</v>
      </c>
    </row>
    <row customHeight="1" ht="67.5">
      <c r="B14" s="321" t="s">
        <v>3368</v>
      </c>
    </row>
    <row customHeight="1" ht="22.5">
      <c r="B15" s="321" t="s">
        <v>3369</v>
      </c>
    </row>
    <row customHeight="1" ht="11.25">
      <c r="B16" s="320" t="s">
        <v>3370</v>
      </c>
      <c r="D16" s="327"/>
    </row>
    <row customHeight="1" ht="33.75">
      <c r="B17" s="321" t="s">
        <v>3371</v>
      </c>
    </row>
    <row customHeight="1" ht="33.75">
      <c r="B18" s="321" t="s">
        <v>3372</v>
      </c>
    </row>
    <row customHeight="1" ht="11.25">
      <c r="B19" s="321" t="s">
        <v>3373</v>
      </c>
    </row>
    <row customHeight="1" ht="33.75">
      <c r="B20" s="321" t="s">
        <v>3374</v>
      </c>
    </row>
    <row customHeight="1" ht="11.25">
      <c r="B21" s="320" t="s">
        <v>3375</v>
      </c>
    </row>
    <row customHeight="1" ht="11.25">
      <c r="B22" s="321" t="s">
        <v>3376</v>
      </c>
    </row>
    <row r="24" customHeight="1" ht="22.5">
      <c r="B24" s="388" t="s">
        <v>3377</v>
      </c>
    </row>
    <row r="26" customHeight="1" ht="11.25">
      <c r="B26" s="320" t="s">
        <v>3378</v>
      </c>
    </row>
    <row customHeight="1" ht="22.5">
      <c r="B27" s="387" t="s">
        <v>398</v>
      </c>
    </row>
    <row customHeight="1" ht="56.25">
      <c r="B28" s="387" t="s">
        <v>3379</v>
      </c>
    </row>
    <row customHeight="1" ht="11.25">
      <c r="B29" s="437" t="s">
        <v>3380</v>
      </c>
    </row>
    <row customHeight="1" ht="22.5">
      <c r="B30" s="387" t="s">
        <v>3381</v>
      </c>
    </row>
    <row r="32" customHeight="1" ht="11.25">
      <c r="A32" s="415"/>
      <c r="B32" s="416" t="s">
        <v>3382</v>
      </c>
    </row>
    <row customHeight="1" ht="14.25">
      <c r="A33" s="417">
        <v>1</v>
      </c>
      <c r="B33" s="418" t="s">
        <v>3383</v>
      </c>
    </row>
    <row customHeight="1" ht="14.25">
      <c r="A34" s="417">
        <v>2</v>
      </c>
      <c r="B34" s="418" t="s">
        <v>3384</v>
      </c>
    </row>
    <row customHeight="1" ht="11.25">
      <c r="B35" s="416" t="s">
        <v>3385</v>
      </c>
    </row>
    <row customHeight="1" ht="11.25">
      <c r="B36" s="418" t="s">
        <v>3386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